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2" sheetId="1" r:id="rId1"/>
  </sheets>
  <externalReferences>
    <externalReference r:id="rId2"/>
    <externalReference r:id="rId3"/>
  </externalReferences>
  <definedNames>
    <definedName name="_xlnm.Print_Area" localSheetId="0">'2'!$A$1:$O$94</definedName>
    <definedName name="_xlnm.Print_Titles" localSheetId="0">'2'!$4:$8</definedName>
  </definedNames>
  <calcPr calcId="14562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L9" i="1"/>
  <c r="N9" i="1"/>
  <c r="O9" i="1"/>
  <c r="E10" i="1"/>
  <c r="M10" i="1"/>
  <c r="M9" i="1" s="1"/>
  <c r="D11" i="1"/>
  <c r="E11" i="1"/>
  <c r="F12" i="1"/>
  <c r="G12" i="1"/>
  <c r="H12" i="1"/>
  <c r="I12" i="1"/>
  <c r="J12" i="1"/>
  <c r="K12" i="1"/>
  <c r="L12" i="1"/>
  <c r="N12" i="1"/>
  <c r="M12" i="1" s="1"/>
  <c r="O12" i="1"/>
  <c r="E13" i="1"/>
  <c r="M13" i="1"/>
  <c r="E14" i="1"/>
  <c r="M14" i="1"/>
  <c r="H15" i="1"/>
  <c r="I15" i="1"/>
  <c r="J15" i="1"/>
  <c r="K15" i="1"/>
  <c r="L15" i="1"/>
  <c r="N15" i="1"/>
  <c r="M15" i="1" s="1"/>
  <c r="O15" i="1"/>
  <c r="F16" i="1"/>
  <c r="G16" i="1"/>
  <c r="G15" i="1" s="1"/>
  <c r="M16" i="1"/>
  <c r="F17" i="1"/>
  <c r="H17" i="1"/>
  <c r="I17" i="1"/>
  <c r="J17" i="1"/>
  <c r="K17" i="1"/>
  <c r="L17" i="1"/>
  <c r="L94" i="1" s="1"/>
  <c r="N17" i="1"/>
  <c r="O17" i="1"/>
  <c r="G18" i="1"/>
  <c r="E18" i="1" s="1"/>
  <c r="M18" i="1"/>
  <c r="M17" i="1" s="1"/>
  <c r="G19" i="1"/>
  <c r="E19" i="1" s="1"/>
  <c r="D19" i="1" s="1"/>
  <c r="M19" i="1"/>
  <c r="F20" i="1"/>
  <c r="G20" i="1"/>
  <c r="H20" i="1"/>
  <c r="I20" i="1"/>
  <c r="J20" i="1"/>
  <c r="K20" i="1"/>
  <c r="L20" i="1"/>
  <c r="N20" i="1"/>
  <c r="M20" i="1" s="1"/>
  <c r="O20" i="1"/>
  <c r="E21" i="1"/>
  <c r="D21" i="1" s="1"/>
  <c r="M21" i="1"/>
  <c r="G22" i="1"/>
  <c r="E22" i="1" s="1"/>
  <c r="M22" i="1"/>
  <c r="D23" i="1"/>
  <c r="E23" i="1"/>
  <c r="M23" i="1"/>
  <c r="E24" i="1"/>
  <c r="D24" i="1" s="1"/>
  <c r="M24" i="1"/>
  <c r="E25" i="1"/>
  <c r="M25" i="1"/>
  <c r="H26" i="1"/>
  <c r="I26" i="1"/>
  <c r="J26" i="1"/>
  <c r="K26" i="1"/>
  <c r="L26" i="1"/>
  <c r="N26" i="1"/>
  <c r="M26" i="1" s="1"/>
  <c r="O26" i="1"/>
  <c r="F27" i="1"/>
  <c r="E27" i="1" s="1"/>
  <c r="M27" i="1"/>
  <c r="E28" i="1"/>
  <c r="D28" i="1" s="1"/>
  <c r="M28" i="1"/>
  <c r="G29" i="1"/>
  <c r="E29" i="1" s="1"/>
  <c r="D29" i="1" s="1"/>
  <c r="M29" i="1"/>
  <c r="G30" i="1"/>
  <c r="E30" i="1" s="1"/>
  <c r="D30" i="1" s="1"/>
  <c r="M30" i="1"/>
  <c r="D31" i="1"/>
  <c r="G31" i="1"/>
  <c r="E31" i="1" s="1"/>
  <c r="M31" i="1"/>
  <c r="E32" i="1"/>
  <c r="D32" i="1" s="1"/>
  <c r="M32" i="1"/>
  <c r="F33" i="1"/>
  <c r="G33" i="1"/>
  <c r="H33" i="1"/>
  <c r="I33" i="1"/>
  <c r="J33" i="1"/>
  <c r="K33" i="1"/>
  <c r="L33" i="1"/>
  <c r="N33" i="1"/>
  <c r="M33" i="1" s="1"/>
  <c r="O33" i="1"/>
  <c r="E34" i="1"/>
  <c r="D34" i="1" s="1"/>
  <c r="M34" i="1"/>
  <c r="E35" i="1"/>
  <c r="M35" i="1"/>
  <c r="E36" i="1"/>
  <c r="M36" i="1"/>
  <c r="F37" i="1"/>
  <c r="G37" i="1"/>
  <c r="H37" i="1"/>
  <c r="I37" i="1"/>
  <c r="J37" i="1"/>
  <c r="K37" i="1"/>
  <c r="L37" i="1"/>
  <c r="N37" i="1"/>
  <c r="M37" i="1" s="1"/>
  <c r="O37" i="1"/>
  <c r="E38" i="1"/>
  <c r="E37" i="1" s="1"/>
  <c r="M38" i="1"/>
  <c r="E39" i="1"/>
  <c r="D39" i="1" s="1"/>
  <c r="M39" i="1"/>
  <c r="F40" i="1"/>
  <c r="E40" i="1" s="1"/>
  <c r="G40" i="1"/>
  <c r="H40" i="1"/>
  <c r="I40" i="1"/>
  <c r="J40" i="1"/>
  <c r="K40" i="1"/>
  <c r="L40" i="1"/>
  <c r="N40" i="1"/>
  <c r="O40" i="1"/>
  <c r="E41" i="1"/>
  <c r="M41" i="1"/>
  <c r="M40" i="1" s="1"/>
  <c r="H42" i="1"/>
  <c r="J42" i="1"/>
  <c r="K42" i="1"/>
  <c r="L42" i="1"/>
  <c r="O42" i="1"/>
  <c r="F43" i="1"/>
  <c r="G43" i="1"/>
  <c r="I43" i="1"/>
  <c r="N43" i="1"/>
  <c r="M43" i="1" s="1"/>
  <c r="F44" i="1"/>
  <c r="G44" i="1"/>
  <c r="I44" i="1"/>
  <c r="M44" i="1"/>
  <c r="E45" i="1"/>
  <c r="M45" i="1"/>
  <c r="F46" i="1"/>
  <c r="G46" i="1"/>
  <c r="I46" i="1"/>
  <c r="M46" i="1"/>
  <c r="F47" i="1"/>
  <c r="E47" i="1" s="1"/>
  <c r="D47" i="1" s="1"/>
  <c r="G47" i="1"/>
  <c r="I47" i="1"/>
  <c r="M47" i="1"/>
  <c r="F48" i="1"/>
  <c r="E48" i="1" s="1"/>
  <c r="M48" i="1"/>
  <c r="F49" i="1"/>
  <c r="G49" i="1"/>
  <c r="I49" i="1"/>
  <c r="M49" i="1"/>
  <c r="E50" i="1"/>
  <c r="F50" i="1"/>
  <c r="M50" i="1"/>
  <c r="G51" i="1"/>
  <c r="E51" i="1" s="1"/>
  <c r="D51" i="1" s="1"/>
  <c r="M51" i="1"/>
  <c r="F52" i="1"/>
  <c r="G52" i="1"/>
  <c r="H52" i="1"/>
  <c r="I52" i="1"/>
  <c r="J52" i="1"/>
  <c r="K52" i="1"/>
  <c r="L52" i="1"/>
  <c r="O52" i="1"/>
  <c r="E53" i="1"/>
  <c r="N53" i="1"/>
  <c r="E54" i="1"/>
  <c r="M54" i="1"/>
  <c r="D54" i="1" s="1"/>
  <c r="E55" i="1"/>
  <c r="M55" i="1"/>
  <c r="H56" i="1"/>
  <c r="J56" i="1"/>
  <c r="N56" i="1"/>
  <c r="M56" i="1" s="1"/>
  <c r="O56" i="1"/>
  <c r="E57" i="1"/>
  <c r="F57" i="1"/>
  <c r="G57" i="1"/>
  <c r="I57" i="1"/>
  <c r="M57" i="1"/>
  <c r="F58" i="1"/>
  <c r="G58" i="1"/>
  <c r="E58" i="1" s="1"/>
  <c r="D58" i="1" s="1"/>
  <c r="M58" i="1"/>
  <c r="F59" i="1"/>
  <c r="I59" i="1"/>
  <c r="I56" i="1" s="1"/>
  <c r="M59" i="1"/>
  <c r="E60" i="1"/>
  <c r="M60" i="1"/>
  <c r="F61" i="1"/>
  <c r="E61" i="1" s="1"/>
  <c r="D61" i="1" s="1"/>
  <c r="M61" i="1"/>
  <c r="F62" i="1"/>
  <c r="E62" i="1" s="1"/>
  <c r="D62" i="1" s="1"/>
  <c r="J62" i="1"/>
  <c r="K62" i="1"/>
  <c r="K56" i="1" s="1"/>
  <c r="L62" i="1"/>
  <c r="L56" i="1" s="1"/>
  <c r="M62" i="1"/>
  <c r="E63" i="1"/>
  <c r="M63" i="1"/>
  <c r="E64" i="1"/>
  <c r="D64" i="1" s="1"/>
  <c r="M64" i="1"/>
  <c r="G65" i="1"/>
  <c r="I65" i="1"/>
  <c r="K65" i="1"/>
  <c r="L65" i="1"/>
  <c r="N65" i="1"/>
  <c r="M65" i="1" s="1"/>
  <c r="O65" i="1"/>
  <c r="H66" i="1"/>
  <c r="H65" i="1" s="1"/>
  <c r="E67" i="1"/>
  <c r="D67" i="1" s="1"/>
  <c r="E68" i="1"/>
  <c r="D68" i="1" s="1"/>
  <c r="F69" i="1"/>
  <c r="E69" i="1" s="1"/>
  <c r="D69" i="1" s="1"/>
  <c r="M69" i="1"/>
  <c r="J70" i="1"/>
  <c r="E70" i="1" s="1"/>
  <c r="D70" i="1" s="1"/>
  <c r="M70" i="1"/>
  <c r="H71" i="1"/>
  <c r="J71" i="1"/>
  <c r="K71" i="1"/>
  <c r="L71" i="1"/>
  <c r="N71" i="1"/>
  <c r="M71" i="1" s="1"/>
  <c r="O71" i="1"/>
  <c r="F72" i="1"/>
  <c r="I72" i="1"/>
  <c r="M72" i="1"/>
  <c r="F73" i="1"/>
  <c r="E73" i="1" s="1"/>
  <c r="M73" i="1"/>
  <c r="F74" i="1"/>
  <c r="G74" i="1"/>
  <c r="G71" i="1" s="1"/>
  <c r="I74" i="1"/>
  <c r="M74" i="1"/>
  <c r="F75" i="1"/>
  <c r="E75" i="1" s="1"/>
  <c r="D75" i="1" s="1"/>
  <c r="M75" i="1"/>
  <c r="E76" i="1"/>
  <c r="D76" i="1" s="1"/>
  <c r="M76" i="1"/>
  <c r="E77" i="1"/>
  <c r="D77" i="1" s="1"/>
  <c r="M77" i="1"/>
  <c r="E78" i="1"/>
  <c r="D78" i="1" s="1"/>
  <c r="M78" i="1"/>
  <c r="E79" i="1"/>
  <c r="M79" i="1"/>
  <c r="E80" i="1"/>
  <c r="D80" i="1" s="1"/>
  <c r="M80" i="1"/>
  <c r="D81" i="1"/>
  <c r="E81" i="1"/>
  <c r="M81" i="1"/>
  <c r="F82" i="1"/>
  <c r="G82" i="1"/>
  <c r="H82" i="1"/>
  <c r="I82" i="1"/>
  <c r="J82" i="1"/>
  <c r="K82" i="1"/>
  <c r="L82" i="1"/>
  <c r="M82" i="1"/>
  <c r="N82" i="1"/>
  <c r="O82" i="1"/>
  <c r="E83" i="1"/>
  <c r="D83" i="1" s="1"/>
  <c r="E84" i="1"/>
  <c r="D84" i="1" s="1"/>
  <c r="E85" i="1"/>
  <c r="D85" i="1" s="1"/>
  <c r="F86" i="1"/>
  <c r="H86" i="1"/>
  <c r="I86" i="1"/>
  <c r="J86" i="1"/>
  <c r="K86" i="1"/>
  <c r="L86" i="1"/>
  <c r="M86" i="1"/>
  <c r="N86" i="1"/>
  <c r="O86" i="1"/>
  <c r="E87" i="1"/>
  <c r="M87" i="1"/>
  <c r="E88" i="1"/>
  <c r="M88" i="1"/>
  <c r="G89" i="1"/>
  <c r="G86" i="1" s="1"/>
  <c r="M89" i="1"/>
  <c r="F90" i="1"/>
  <c r="H90" i="1"/>
  <c r="I90" i="1"/>
  <c r="J90" i="1"/>
  <c r="K90" i="1"/>
  <c r="L90" i="1"/>
  <c r="N90" i="1"/>
  <c r="O90" i="1"/>
  <c r="F91" i="1"/>
  <c r="E91" i="1" s="1"/>
  <c r="M91" i="1"/>
  <c r="M90" i="1" s="1"/>
  <c r="E92" i="1"/>
  <c r="D92" i="1" s="1"/>
  <c r="E93" i="1"/>
  <c r="D93" i="1" s="1"/>
  <c r="G93" i="1"/>
  <c r="G90" i="1" s="1"/>
  <c r="M93" i="1"/>
  <c r="F56" i="1" l="1"/>
  <c r="G26" i="1"/>
  <c r="D50" i="1"/>
  <c r="E49" i="1"/>
  <c r="D49" i="1" s="1"/>
  <c r="G42" i="1"/>
  <c r="D22" i="1"/>
  <c r="E89" i="1"/>
  <c r="D89" i="1" s="1"/>
  <c r="D87" i="1"/>
  <c r="D86" i="1" s="1"/>
  <c r="D79" i="1"/>
  <c r="D73" i="1"/>
  <c r="D63" i="1"/>
  <c r="E52" i="1"/>
  <c r="D41" i="1"/>
  <c r="H94" i="1"/>
  <c r="E12" i="1"/>
  <c r="K94" i="1"/>
  <c r="D88" i="1"/>
  <c r="E74" i="1"/>
  <c r="D74" i="1" s="1"/>
  <c r="I71" i="1"/>
  <c r="N42" i="1"/>
  <c r="M42" i="1" s="1"/>
  <c r="D38" i="1"/>
  <c r="O94" i="1"/>
  <c r="D91" i="1"/>
  <c r="D90" i="1" s="1"/>
  <c r="E90" i="1"/>
  <c r="D40" i="1"/>
  <c r="D37" i="1"/>
  <c r="G56" i="1"/>
  <c r="E86" i="1"/>
  <c r="E82" i="1"/>
  <c r="E72" i="1"/>
  <c r="N52" i="1"/>
  <c r="M52" i="1" s="1"/>
  <c r="M53" i="1"/>
  <c r="D53" i="1" s="1"/>
  <c r="D48" i="1"/>
  <c r="E44" i="1"/>
  <c r="D44" i="1" s="1"/>
  <c r="E33" i="1"/>
  <c r="D18" i="1"/>
  <c r="D17" i="1" s="1"/>
  <c r="E17" i="1"/>
  <c r="G17" i="1"/>
  <c r="E16" i="1"/>
  <c r="D14" i="1"/>
  <c r="F71" i="1"/>
  <c r="D60" i="1"/>
  <c r="E43" i="1"/>
  <c r="F42" i="1"/>
  <c r="D27" i="1"/>
  <c r="D26" i="1" s="1"/>
  <c r="E26" i="1"/>
  <c r="D10" i="1"/>
  <c r="D9" i="1" s="1"/>
  <c r="F65" i="1"/>
  <c r="D57" i="1"/>
  <c r="J65" i="1"/>
  <c r="J94" i="1" s="1"/>
  <c r="E59" i="1"/>
  <c r="D59" i="1" s="1"/>
  <c r="D55" i="1"/>
  <c r="D45" i="1"/>
  <c r="D36" i="1"/>
  <c r="D25" i="1"/>
  <c r="D20" i="1" s="1"/>
  <c r="D82" i="1"/>
  <c r="E66" i="1"/>
  <c r="E46" i="1"/>
  <c r="D46" i="1" s="1"/>
  <c r="I42" i="1"/>
  <c r="I94" i="1" s="1"/>
  <c r="D35" i="1"/>
  <c r="D33" i="1" s="1"/>
  <c r="F26" i="1"/>
  <c r="D13" i="1"/>
  <c r="E20" i="1"/>
  <c r="F15" i="1"/>
  <c r="F94" i="1" s="1"/>
  <c r="E9" i="1"/>
  <c r="N94" i="1" l="1"/>
  <c r="M94" i="1" s="1"/>
  <c r="G94" i="1"/>
  <c r="D52" i="1"/>
  <c r="D12" i="1"/>
  <c r="D43" i="1"/>
  <c r="D42" i="1" s="1"/>
  <c r="E42" i="1"/>
  <c r="E15" i="1"/>
  <c r="D16" i="1"/>
  <c r="D15" i="1" s="1"/>
  <c r="D66" i="1"/>
  <c r="D65" i="1" s="1"/>
  <c r="E65" i="1"/>
  <c r="E71" i="1"/>
  <c r="D72" i="1"/>
  <c r="D71" i="1" s="1"/>
  <c r="D56" i="1"/>
  <c r="E56" i="1"/>
  <c r="D94" i="1" l="1"/>
  <c r="E94" i="1"/>
</calcChain>
</file>

<file path=xl/sharedStrings.xml><?xml version="1.0" encoding="utf-8"?>
<sst xmlns="http://schemas.openxmlformats.org/spreadsheetml/2006/main" count="195" uniqueCount="182">
  <si>
    <t>* do fakultatywnego wykorzystania przez organ stanowiący</t>
  </si>
  <si>
    <t>Ogółem:</t>
  </si>
  <si>
    <t>Pozostała działalność</t>
  </si>
  <si>
    <t>92695</t>
  </si>
  <si>
    <t>Zadania w zakresie kultury fizycznej</t>
  </si>
  <si>
    <t>92605</t>
  </si>
  <si>
    <t>Obiekty sportowe</t>
  </si>
  <si>
    <t>92601</t>
  </si>
  <si>
    <t>KULTURA FIZYCZNA</t>
  </si>
  <si>
    <t>926</t>
  </si>
  <si>
    <t>92195</t>
  </si>
  <si>
    <t xml:space="preserve">Ochrona zabytków i opieka nad zabytkami </t>
  </si>
  <si>
    <t>92120</t>
  </si>
  <si>
    <t>Biblioteki</t>
  </si>
  <si>
    <t>92116</t>
  </si>
  <si>
    <t>KULTURA I OCHRONA DZIEDZICTWA NARODOWEGO</t>
  </si>
  <si>
    <t>921</t>
  </si>
  <si>
    <t>90095</t>
  </si>
  <si>
    <t>Gospodarka odpadami</t>
  </si>
  <si>
    <t>90002</t>
  </si>
  <si>
    <t>Gospodarka ściekowa i ochrona wód</t>
  </si>
  <si>
    <t>90001</t>
  </si>
  <si>
    <t>GOSPODARKA KOMUNALNA I OCHRONA ŚRODOWISKA</t>
  </si>
  <si>
    <t>900</t>
  </si>
  <si>
    <t>85495</t>
  </si>
  <si>
    <t>Dokształcanie i doskonalenie nauczycieli</t>
  </si>
  <si>
    <t>85446</t>
  </si>
  <si>
    <t xml:space="preserve">Ośrodki rewalidacyjno-wychowawcze </t>
  </si>
  <si>
    <t>85419</t>
  </si>
  <si>
    <t>Przeciwdziałanie i ograniczanie skutków patologi społecznej</t>
  </si>
  <si>
    <t>85418</t>
  </si>
  <si>
    <t>Pomoc materialna dla uczniów</t>
  </si>
  <si>
    <t>85415</t>
  </si>
  <si>
    <t>Kolonie i obozy oraz inne formy wypoczynku dzieci i młodzieży szkolnej, a także szkolenia młodzieży</t>
  </si>
  <si>
    <t>85412</t>
  </si>
  <si>
    <t>Internaty i bursy szkolne</t>
  </si>
  <si>
    <t>85410</t>
  </si>
  <si>
    <t>Poradnie psychologiczno-pedagogiczne, w tym poradnie specjalistyczne</t>
  </si>
  <si>
    <t>85406</t>
  </si>
  <si>
    <t>Specjalne ośrodki szkolno - wychowawcze</t>
  </si>
  <si>
    <t>85403</t>
  </si>
  <si>
    <t xml:space="preserve">Świetlice szkolne </t>
  </si>
  <si>
    <t>85401</t>
  </si>
  <si>
    <t>EDUKACYJNA OPIEKA WYCHOWAWCZA</t>
  </si>
  <si>
    <t>854</t>
  </si>
  <si>
    <t>85395</t>
  </si>
  <si>
    <t>Powiatowe urzędy pracy</t>
  </si>
  <si>
    <t>85333</t>
  </si>
  <si>
    <t>Powiatowy Fundusz Rehabilitacji Osób Niepełnosprawnych</t>
  </si>
  <si>
    <t>85324</t>
  </si>
  <si>
    <t>Zespoły do spraw orzekania o niepełnosprawności</t>
  </si>
  <si>
    <t>85321</t>
  </si>
  <si>
    <t>Rehabilitacja zawodowa i społeczna osób niepełnosprawnych</t>
  </si>
  <si>
    <t>85311</t>
  </si>
  <si>
    <t>POZOSTAŁE ZADANIA W ZAKRESIE POLITYKI SPOŁECZNEJ</t>
  </si>
  <si>
    <t>853</t>
  </si>
  <si>
    <t>85295</t>
  </si>
  <si>
    <t>85233</t>
  </si>
  <si>
    <t>Jednostki specjalistycznego poradnictwa, mieszkania chronione i ośrodki interwencji kryzysowej</t>
  </si>
  <si>
    <t>85220</t>
  </si>
  <si>
    <t>Powiatowe centra pomocy rodzinie</t>
  </si>
  <si>
    <t>85218</t>
  </si>
  <si>
    <t>Zadania w zakresie przeciwdziałania przemocy w rodzinie</t>
  </si>
  <si>
    <t>85205</t>
  </si>
  <si>
    <t>Rodziny zastępcze</t>
  </si>
  <si>
    <t>85204</t>
  </si>
  <si>
    <t>Domy pomocy społecznej</t>
  </si>
  <si>
    <t>85202</t>
  </si>
  <si>
    <t>Placówki opiekuńczo - wychowawcze</t>
  </si>
  <si>
    <t>85201</t>
  </si>
  <si>
    <t>POMOC SPOŁECZNA</t>
  </si>
  <si>
    <t>852</t>
  </si>
  <si>
    <t>Składki na ubezpieczenia zdrowotne oraz świadczenia dla osób nie objętych obowiązkiem ubezpieczenia zdrowotnego</t>
  </si>
  <si>
    <t>85156</t>
  </si>
  <si>
    <t>Zwalczanie narkomanii</t>
  </si>
  <si>
    <t>85153</t>
  </si>
  <si>
    <t>Szpitale ogólne</t>
  </si>
  <si>
    <t>85111</t>
  </si>
  <si>
    <t>OCHRONA ZDROWIA</t>
  </si>
  <si>
    <t>851</t>
  </si>
  <si>
    <t>80195</t>
  </si>
  <si>
    <t>80146</t>
  </si>
  <si>
    <t xml:space="preserve">Szkoły zawodowe specjalne </t>
  </si>
  <si>
    <t>80134</t>
  </si>
  <si>
    <t>Szkoły artystyczne</t>
  </si>
  <si>
    <t>80132</t>
  </si>
  <si>
    <t>Szkoły zawodowe</t>
  </si>
  <si>
    <t>80130</t>
  </si>
  <si>
    <t>Licea ogólnokształcące</t>
  </si>
  <si>
    <t>80120</t>
  </si>
  <si>
    <t xml:space="preserve">Dowożenie uczniów do  szkół </t>
  </si>
  <si>
    <t>80113</t>
  </si>
  <si>
    <t>Gimnazja specjalne</t>
  </si>
  <si>
    <t>80111</t>
  </si>
  <si>
    <t>Szkoły podstawowe i specjalne</t>
  </si>
  <si>
    <t>80102</t>
  </si>
  <si>
    <t>OŚWIATA I WYCHOWANIE</t>
  </si>
  <si>
    <t>801</t>
  </si>
  <si>
    <t>Rezerwy ogólne i celowe</t>
  </si>
  <si>
    <t>75818</t>
  </si>
  <si>
    <t>RÓŻNE ROZLICZENIA</t>
  </si>
  <si>
    <t>758</t>
  </si>
  <si>
    <t xml:space="preserve">Rozliczenia z tytułu poręczeń i gwarancji udzielonych przez Skarb Państwa lub jednostkę samorządu terytorialnego </t>
  </si>
  <si>
    <t>75704</t>
  </si>
  <si>
    <t>Obsługa papierów wartościowych, kredytów, pożyczek jednostek samorządu terytorialnego</t>
  </si>
  <si>
    <t>75702</t>
  </si>
  <si>
    <t>OBSŁUGA DŁUGU PUBLICZNEGO</t>
  </si>
  <si>
    <t>757</t>
  </si>
  <si>
    <t>75495</t>
  </si>
  <si>
    <t>Zarządzanie kryzysowe</t>
  </si>
  <si>
    <t>75421</t>
  </si>
  <si>
    <t>Komendy powiatowe Państwowej Straży Pożarnej</t>
  </si>
  <si>
    <t>75411</t>
  </si>
  <si>
    <t>BEZPIECZEŃSTWO PUBLICZNE I OCHRONA PRZECIWPOŻAROWA</t>
  </si>
  <si>
    <t>754</t>
  </si>
  <si>
    <t xml:space="preserve">Pozostała działalność </t>
  </si>
  <si>
    <t>75095</t>
  </si>
  <si>
    <t>Promocja jednostek samorządu terytorialnego</t>
  </si>
  <si>
    <t>75075</t>
  </si>
  <si>
    <t>Kwalifikacja wojskowa</t>
  </si>
  <si>
    <t>75045</t>
  </si>
  <si>
    <t>Starostwa powiatowe</t>
  </si>
  <si>
    <t>75020</t>
  </si>
  <si>
    <t>Rady powiatów</t>
  </si>
  <si>
    <t>75019</t>
  </si>
  <si>
    <t>Urzędy wojewódzkie</t>
  </si>
  <si>
    <t>75011</t>
  </si>
  <si>
    <t>ADMINISTRACJA PUBLICZNA</t>
  </si>
  <si>
    <t>750</t>
  </si>
  <si>
    <t>71095</t>
  </si>
  <si>
    <t>Nadzór budowlany</t>
  </si>
  <si>
    <t>71015</t>
  </si>
  <si>
    <t>Opracowania geodezyjne i kartograficzne</t>
  </si>
  <si>
    <t>71014</t>
  </si>
  <si>
    <t>Prace geodezyjne i kartograficzne (nieinwestycyjne)</t>
  </si>
  <si>
    <t>71013</t>
  </si>
  <si>
    <t>Ośrodki dokumentacji geodezyjnej i kartograficznej</t>
  </si>
  <si>
    <t>71012</t>
  </si>
  <si>
    <t>DZIAŁALNOŚĆ USŁUGOWA</t>
  </si>
  <si>
    <t>710</t>
  </si>
  <si>
    <t>70095</t>
  </si>
  <si>
    <t>Gopodarka gruntami i nieruchomościami</t>
  </si>
  <si>
    <t>70005</t>
  </si>
  <si>
    <t>GOSPODARKA MIESZKANIOWA</t>
  </si>
  <si>
    <t>700</t>
  </si>
  <si>
    <t>Drogi publiczne  powiatowe</t>
  </si>
  <si>
    <t>60014</t>
  </si>
  <si>
    <t>TRANSPORT I ŁĄCZNOŚĆ</t>
  </si>
  <si>
    <t>600</t>
  </si>
  <si>
    <t>Nadzór nad gospodarką leśną</t>
  </si>
  <si>
    <t>02002</t>
  </si>
  <si>
    <t>Gospodarka leśna</t>
  </si>
  <si>
    <t>02001</t>
  </si>
  <si>
    <t>LEŚNICTWO</t>
  </si>
  <si>
    <t>020</t>
  </si>
  <si>
    <t>Melioracje wodne</t>
  </si>
  <si>
    <t>01008</t>
  </si>
  <si>
    <t>Prace geodezyjno-urządzeniowe na potrzeby rolnictwa</t>
  </si>
  <si>
    <t>01005</t>
  </si>
  <si>
    <t>ROLNICTWO I ŁOWIECTWO</t>
  </si>
  <si>
    <t>010</t>
  </si>
  <si>
    <t>na programy finansowane z udziałem środków, o których mowa w art. 5 ust. 1 pkt 2 i 3, w części związanej z realizacją zadań jednostki samorządu terytorialnego</t>
  </si>
  <si>
    <t>Wydatki związane z realizacją zadań statutowych</t>
  </si>
  <si>
    <t>Wynagrodzenia i składki od nich naliczane</t>
  </si>
  <si>
    <t>w tym:</t>
  </si>
  <si>
    <t>Inwestycje i zakupy inwestycyjne</t>
  </si>
  <si>
    <t>Wydatki na obsługę długu</t>
  </si>
  <si>
    <t>Wydatki
z tytułu poręczeń
i gwarancji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</si>
  <si>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pochodzących ze źródeł zagranicznych niepodlegających zwrotowi,w części związanej z realizacją zadań Gminy/Powiatu</t>
  </si>
  <si>
    <t>Świadczenia na rzecz osób fizycznych</t>
  </si>
  <si>
    <t>Dotacje na zadania bieżące</t>
  </si>
  <si>
    <t>Wydatki jednostek budżetowych</t>
  </si>
  <si>
    <t>z tego:</t>
  </si>
  <si>
    <t>Wydatki majątkowe</t>
  </si>
  <si>
    <t>Wydatki bieżące</t>
  </si>
  <si>
    <t>Plan
na 2012 r.</t>
  </si>
  <si>
    <t>Nazwa</t>
  </si>
  <si>
    <t>Rozdział</t>
  </si>
  <si>
    <t>Dział</t>
  </si>
  <si>
    <t>w złotych</t>
  </si>
  <si>
    <t>Wydatki
budżetu Powiatu Goleniowskiego
w 2012 r.</t>
  </si>
  <si>
    <t>Załącznik Nr 2
do uchwały Nr XII/94/11
Rady Powiatu w Goleniowie 
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</si>
</sst>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10"/>
      <name val="Arial"/>
      <family val="2"/>
      <charset val="238"/>
    </font>
    <font>
      <b/>
      <sz val="10"/>
      <name val="Arial"/>
      <family val="2"/>
      <charset val="238"/>
    </font>
    <font>
      <i/>
      <u/>
      <sz val="8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10" fontId="2" fillId="0" borderId="0" xfId="0" applyNumberFormat="1" applyFont="1"/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10" fontId="1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/>
    <xf numFmtId="10" fontId="4" fillId="0" borderId="0" xfId="0" applyNumberFormat="1" applyFont="1"/>
    <xf numFmtId="3" fontId="3" fillId="2" borderId="1" xfId="0" applyNumberFormat="1" applyFont="1" applyFill="1" applyBorder="1" applyAlignment="1">
      <alignment horizontal="right"/>
    </xf>
    <xf numFmtId="3" fontId="3" fillId="2" borderId="2" xfId="0" applyNumberFormat="1" applyFont="1" applyFill="1" applyBorder="1" applyAlignment="1">
      <alignment horizontal="right"/>
    </xf>
    <xf numFmtId="0" fontId="5" fillId="0" borderId="0" xfId="0" applyFont="1"/>
    <xf numFmtId="10" fontId="6" fillId="0" borderId="0" xfId="0" applyNumberFormat="1" applyFont="1"/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/>
    </xf>
    <xf numFmtId="3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wrapText="1"/>
    </xf>
    <xf numFmtId="49" fontId="1" fillId="0" borderId="7" xfId="0" applyNumberFormat="1" applyFont="1" applyFill="1" applyBorder="1" applyAlignment="1">
      <alignment horizontal="center" vertical="top"/>
    </xf>
    <xf numFmtId="3" fontId="0" fillId="0" borderId="1" xfId="0" applyNumberFormat="1" applyFont="1" applyFill="1" applyBorder="1" applyAlignment="1">
      <alignment horizontal="right" wrapText="1"/>
    </xf>
    <xf numFmtId="3" fontId="3" fillId="2" borderId="6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3" fontId="3" fillId="2" borderId="12" xfId="0" applyNumberFormat="1" applyFont="1" applyFill="1" applyBorder="1" applyAlignment="1">
      <alignment horizontal="right"/>
    </xf>
    <xf numFmtId="3" fontId="3" fillId="2" borderId="13" xfId="0" applyNumberFormat="1" applyFont="1" applyFill="1" applyBorder="1" applyAlignment="1">
      <alignment horizontal="right"/>
    </xf>
    <xf numFmtId="0" fontId="3" fillId="2" borderId="13" xfId="0" applyFont="1" applyFill="1" applyBorder="1" applyAlignment="1">
      <alignment wrapText="1"/>
    </xf>
    <xf numFmtId="49" fontId="3" fillId="2" borderId="14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/>
    </xf>
    <xf numFmtId="49" fontId="3" fillId="0" borderId="18" xfId="0" applyNumberFormat="1" applyFont="1" applyFill="1" applyBorder="1" applyAlignment="1">
      <alignment vertical="top"/>
    </xf>
    <xf numFmtId="3" fontId="3" fillId="2" borderId="19" xfId="0" applyNumberFormat="1" applyFont="1" applyFill="1" applyBorder="1" applyAlignment="1">
      <alignment horizontal="right"/>
    </xf>
    <xf numFmtId="3" fontId="3" fillId="2" borderId="20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wrapText="1"/>
    </xf>
    <xf numFmtId="49" fontId="3" fillId="2" borderId="21" xfId="0" applyNumberFormat="1" applyFont="1" applyFill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vertical="top"/>
    </xf>
    <xf numFmtId="49" fontId="3" fillId="0" borderId="10" xfId="0" applyNumberFormat="1" applyFont="1" applyFill="1" applyBorder="1" applyAlignment="1">
      <alignment vertical="top"/>
    </xf>
    <xf numFmtId="49" fontId="1" fillId="0" borderId="14" xfId="0" applyNumberFormat="1" applyFont="1" applyFill="1" applyBorder="1" applyAlignment="1">
      <alignment horizontal="center" vertical="top"/>
    </xf>
    <xf numFmtId="49" fontId="1" fillId="0" borderId="22" xfId="0" applyNumberFormat="1" applyFont="1" applyFill="1" applyBorder="1" applyAlignment="1">
      <alignment horizontal="center" vertical="top"/>
    </xf>
    <xf numFmtId="49" fontId="3" fillId="0" borderId="23" xfId="0" applyNumberFormat="1" applyFont="1" applyFill="1" applyBorder="1" applyAlignment="1">
      <alignment vertical="top"/>
    </xf>
    <xf numFmtId="49" fontId="3" fillId="0" borderId="11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wrapText="1"/>
    </xf>
    <xf numFmtId="3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49" fontId="1" fillId="0" borderId="9" xfId="0" applyNumberFormat="1" applyFont="1" applyFill="1" applyBorder="1" applyAlignment="1">
      <alignment vertical="top"/>
    </xf>
    <xf numFmtId="49" fontId="1" fillId="0" borderId="10" xfId="0" applyNumberFormat="1" applyFont="1" applyFill="1" applyBorder="1" applyAlignment="1">
      <alignment vertical="top"/>
    </xf>
    <xf numFmtId="49" fontId="1" fillId="0" borderId="23" xfId="0" applyNumberFormat="1" applyFont="1" applyFill="1" applyBorder="1" applyAlignment="1">
      <alignment vertical="top"/>
    </xf>
    <xf numFmtId="49" fontId="1" fillId="0" borderId="11" xfId="0" applyNumberFormat="1" applyFont="1" applyFill="1" applyBorder="1" applyAlignment="1">
      <alignment vertical="top"/>
    </xf>
    <xf numFmtId="49" fontId="1" fillId="0" borderId="8" xfId="0" applyNumberFormat="1" applyFont="1" applyFill="1" applyBorder="1" applyAlignment="1">
      <alignment horizontal="center" vertical="top"/>
    </xf>
    <xf numFmtId="2" fontId="6" fillId="0" borderId="0" xfId="0" applyNumberFormat="1" applyFont="1"/>
    <xf numFmtId="3" fontId="1" fillId="0" borderId="24" xfId="0" applyNumberFormat="1" applyFont="1" applyFill="1" applyBorder="1" applyAlignment="1">
      <alignment horizontal="right"/>
    </xf>
    <xf numFmtId="0" fontId="1" fillId="0" borderId="26" xfId="0" applyFont="1" applyFill="1" applyBorder="1" applyAlignment="1">
      <alignment wrapText="1"/>
    </xf>
    <xf numFmtId="49" fontId="1" fillId="0" borderId="26" xfId="0" applyNumberFormat="1" applyFont="1" applyFill="1" applyBorder="1" applyAlignment="1">
      <alignment horizontal="center" vertical="top"/>
    </xf>
    <xf numFmtId="49" fontId="0" fillId="0" borderId="7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/>
    <xf numFmtId="10" fontId="8" fillId="0" borderId="0" xfId="0" applyNumberFormat="1" applyFont="1"/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top"/>
    </xf>
    <xf numFmtId="49" fontId="3" fillId="0" borderId="16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1" fillId="0" borderId="27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49" fontId="1" fillId="0" borderId="25" xfId="0" applyNumberFormat="1" applyFont="1" applyFill="1" applyBorder="1" applyAlignment="1">
      <alignment horizontal="center" vertical="top"/>
    </xf>
    <xf numFmtId="0" fontId="13" fillId="0" borderId="0" xfId="0" applyFont="1" applyAlignme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/AppData/Local/Temp/za&#322;.%20do%20uch%20XII-94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Ustawienia%20lokalne/Temporary%20Internet%20Files/Content.IE5/EICV2C74/prognoza%20wydatk&#258;&#322;w%20na%202011%20r.%20zarz&#196;&#8230;d%20redukcja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4"/>
      <sheetName val="5"/>
      <sheetName val="6"/>
      <sheetName val="7"/>
      <sheetName val="8"/>
      <sheetName val="9"/>
    </sheetNames>
    <sheetDataSet>
      <sheetData sheetId="0"/>
      <sheetData sheetId="1"/>
      <sheetData sheetId="2"/>
      <sheetData sheetId="3">
        <row r="10">
          <cell r="F10">
            <v>487740</v>
          </cell>
          <cell r="G10">
            <v>160206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tki własne"/>
      <sheetName val="wydatki zlecone"/>
      <sheetName val="wydatki pow "/>
      <sheetName val="wyd. inw"/>
      <sheetName val="wydatki jednorazowe wf"/>
      <sheetName val="wyd. inw (2)"/>
    </sheetNames>
    <sheetDataSet>
      <sheetData sheetId="0" refreshError="1">
        <row r="294">
          <cell r="L29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showGridLines="0" tabSelected="1" workbookViewId="0">
      <selection activeCell="D10" sqref="D10"/>
    </sheetView>
  </sheetViews>
  <sheetFormatPr defaultRowHeight="12.75" x14ac:dyDescent="0.2"/>
  <cols>
    <col min="1" max="1" width="4.7109375" style="1" customWidth="1"/>
    <col min="2" max="2" width="8.85546875" style="1" bestFit="1" customWidth="1"/>
    <col min="3" max="3" width="24.5703125" style="1" customWidth="1"/>
    <col min="4" max="4" width="11.5703125" style="1" bestFit="1" customWidth="1"/>
    <col min="5" max="5" width="12.140625" style="3" customWidth="1"/>
    <col min="6" max="6" width="13.28515625" style="3" customWidth="1"/>
    <col min="7" max="7" width="13" style="3" customWidth="1"/>
    <col min="8" max="8" width="11.7109375" style="3" customWidth="1"/>
    <col min="9" max="9" width="10.7109375" style="3" customWidth="1"/>
    <col min="10" max="10" width="12.140625" style="3" customWidth="1"/>
    <col min="11" max="11" width="11.42578125" style="3" customWidth="1"/>
    <col min="12" max="12" width="13.140625" style="3" customWidth="1"/>
    <col min="13" max="13" width="12.7109375" style="3" customWidth="1"/>
    <col min="14" max="15" width="12.140625" style="3" customWidth="1"/>
    <col min="16" max="16" width="14.42578125" style="2" bestFit="1" customWidth="1"/>
    <col min="17" max="16384" width="9.140625" style="1"/>
  </cols>
  <sheetData>
    <row r="1" spans="1:16" ht="48.75" customHeight="1" x14ac:dyDescent="0.2">
      <c r="L1" s="90" t="s">
        <v>181</v>
      </c>
      <c r="M1" s="90"/>
      <c r="N1" s="74"/>
      <c r="O1" s="74"/>
    </row>
    <row r="2" spans="1:16" ht="47.25" customHeight="1" x14ac:dyDescent="0.2">
      <c r="A2" s="91" t="s">
        <v>180</v>
      </c>
      <c r="B2" s="91"/>
      <c r="C2" s="91"/>
      <c r="D2" s="91"/>
      <c r="E2" s="91"/>
      <c r="F2" s="92"/>
      <c r="G2" s="91"/>
      <c r="H2" s="91"/>
      <c r="I2" s="73"/>
    </row>
    <row r="3" spans="1:16" ht="9.75" customHeight="1" x14ac:dyDescent="0.2">
      <c r="A3" s="73"/>
      <c r="B3" s="73"/>
      <c r="C3" s="73"/>
      <c r="D3" s="73"/>
      <c r="E3" s="73"/>
      <c r="F3" s="73"/>
      <c r="G3" s="73"/>
      <c r="H3" s="72"/>
      <c r="I3" s="72"/>
      <c r="M3" s="71" t="s">
        <v>179</v>
      </c>
      <c r="N3" s="71"/>
      <c r="O3" s="71"/>
    </row>
    <row r="4" spans="1:16" s="15" customFormat="1" ht="15" customHeight="1" x14ac:dyDescent="0.2">
      <c r="A4" s="78" t="s">
        <v>178</v>
      </c>
      <c r="B4" s="78" t="s">
        <v>177</v>
      </c>
      <c r="C4" s="78" t="s">
        <v>176</v>
      </c>
      <c r="D4" s="78" t="s">
        <v>175</v>
      </c>
      <c r="E4" s="78" t="s">
        <v>172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16"/>
    </row>
    <row r="5" spans="1:16" s="15" customFormat="1" ht="12" customHeight="1" x14ac:dyDescent="0.2">
      <c r="A5" s="78"/>
      <c r="B5" s="78"/>
      <c r="C5" s="78"/>
      <c r="D5" s="78"/>
      <c r="E5" s="78" t="s">
        <v>174</v>
      </c>
      <c r="F5" s="78" t="s">
        <v>172</v>
      </c>
      <c r="G5" s="78"/>
      <c r="H5" s="78"/>
      <c r="I5" s="78"/>
      <c r="J5" s="78"/>
      <c r="K5" s="78"/>
      <c r="L5" s="78"/>
      <c r="M5" s="78" t="s">
        <v>173</v>
      </c>
      <c r="N5" s="78" t="s">
        <v>172</v>
      </c>
      <c r="O5" s="78"/>
      <c r="P5" s="16"/>
    </row>
    <row r="6" spans="1:16" s="15" customFormat="1" ht="36" customHeight="1" x14ac:dyDescent="0.2">
      <c r="A6" s="78"/>
      <c r="B6" s="78"/>
      <c r="C6" s="78"/>
      <c r="D6" s="78"/>
      <c r="E6" s="78"/>
      <c r="F6" s="78" t="s">
        <v>171</v>
      </c>
      <c r="G6" s="78"/>
      <c r="H6" s="78" t="s">
        <v>170</v>
      </c>
      <c r="I6" s="78" t="s">
        <v>169</v>
      </c>
      <c r="J6" s="78" t="s">
        <v>168</v>
      </c>
      <c r="K6" s="78" t="s">
        <v>167</v>
      </c>
      <c r="L6" s="78" t="s">
        <v>166</v>
      </c>
      <c r="M6" s="78"/>
      <c r="N6" s="78" t="s">
        <v>165</v>
      </c>
      <c r="O6" s="70" t="s">
        <v>164</v>
      </c>
      <c r="P6" s="16"/>
    </row>
    <row r="7" spans="1:16" s="67" customFormat="1" ht="64.5" customHeight="1" x14ac:dyDescent="0.2">
      <c r="A7" s="78"/>
      <c r="B7" s="78"/>
      <c r="C7" s="78"/>
      <c r="D7" s="78"/>
      <c r="E7" s="78"/>
      <c r="F7" s="70" t="s">
        <v>163</v>
      </c>
      <c r="G7" s="70" t="s">
        <v>162</v>
      </c>
      <c r="H7" s="78"/>
      <c r="I7" s="78"/>
      <c r="J7" s="78"/>
      <c r="K7" s="78"/>
      <c r="L7" s="78"/>
      <c r="M7" s="78"/>
      <c r="N7" s="78"/>
      <c r="O7" s="69" t="s">
        <v>161</v>
      </c>
      <c r="P7" s="68"/>
    </row>
    <row r="8" spans="1:16" s="15" customFormat="1" x14ac:dyDescent="0.2">
      <c r="A8" s="66">
        <v>1</v>
      </c>
      <c r="B8" s="66">
        <v>2</v>
      </c>
      <c r="C8" s="66">
        <v>3</v>
      </c>
      <c r="D8" s="65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  <c r="K8" s="64">
        <v>11</v>
      </c>
      <c r="L8" s="64">
        <v>12</v>
      </c>
      <c r="M8" s="64">
        <v>13</v>
      </c>
      <c r="N8" s="64">
        <v>14</v>
      </c>
      <c r="O8" s="64">
        <v>15</v>
      </c>
      <c r="P8" s="16"/>
    </row>
    <row r="9" spans="1:16" s="15" customFormat="1" ht="25.5" x14ac:dyDescent="0.2">
      <c r="A9" s="63" t="s">
        <v>160</v>
      </c>
      <c r="B9" s="30"/>
      <c r="C9" s="29" t="s">
        <v>159</v>
      </c>
      <c r="D9" s="28">
        <f t="shared" ref="D9:O9" si="0">D10+D11</f>
        <v>49500</v>
      </c>
      <c r="E9" s="28">
        <f t="shared" si="0"/>
        <v>49500</v>
      </c>
      <c r="F9" s="28">
        <f t="shared" si="0"/>
        <v>4500</v>
      </c>
      <c r="G9" s="28">
        <f t="shared" si="0"/>
        <v>45000</v>
      </c>
      <c r="H9" s="28">
        <f t="shared" si="0"/>
        <v>0</v>
      </c>
      <c r="I9" s="28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13">
        <f t="shared" si="0"/>
        <v>0</v>
      </c>
      <c r="P9" s="16"/>
    </row>
    <row r="10" spans="1:16" s="15" customFormat="1" ht="38.25" x14ac:dyDescent="0.2">
      <c r="A10" s="57"/>
      <c r="B10" s="21" t="s">
        <v>158</v>
      </c>
      <c r="C10" s="20" t="s">
        <v>157</v>
      </c>
      <c r="D10" s="19">
        <f>E10+M10</f>
        <v>45000</v>
      </c>
      <c r="E10" s="18">
        <f>F10+G10+H10+I10+J10+K10+L10</f>
        <v>45000</v>
      </c>
      <c r="F10" s="18">
        <v>0</v>
      </c>
      <c r="G10" s="17">
        <v>45000</v>
      </c>
      <c r="H10" s="18">
        <v>0</v>
      </c>
      <c r="I10" s="17">
        <v>0</v>
      </c>
      <c r="J10" s="18">
        <v>0</v>
      </c>
      <c r="K10" s="17">
        <v>0</v>
      </c>
      <c r="L10" s="18">
        <v>0</v>
      </c>
      <c r="M10" s="18">
        <f>N10</f>
        <v>0</v>
      </c>
      <c r="N10" s="18">
        <v>0</v>
      </c>
      <c r="O10" s="17">
        <v>0</v>
      </c>
      <c r="P10" s="16"/>
    </row>
    <row r="11" spans="1:16" s="15" customFormat="1" x14ac:dyDescent="0.2">
      <c r="A11" s="57"/>
      <c r="B11" s="62" t="s">
        <v>156</v>
      </c>
      <c r="C11" s="20" t="s">
        <v>155</v>
      </c>
      <c r="D11" s="19">
        <f>E11+M11</f>
        <v>4500</v>
      </c>
      <c r="E11" s="18">
        <f>F11+G11+H11+I11+J11+K11+L11</f>
        <v>4500</v>
      </c>
      <c r="F11" s="18">
        <v>4500</v>
      </c>
      <c r="G11" s="17">
        <v>0</v>
      </c>
      <c r="H11" s="18">
        <v>0</v>
      </c>
      <c r="I11" s="17">
        <v>0</v>
      </c>
      <c r="J11" s="18">
        <v>0</v>
      </c>
      <c r="K11" s="17">
        <v>0</v>
      </c>
      <c r="L11" s="18">
        <v>0</v>
      </c>
      <c r="M11" s="18">
        <v>0</v>
      </c>
      <c r="N11" s="18">
        <v>0</v>
      </c>
      <c r="O11" s="17">
        <v>0</v>
      </c>
      <c r="P11" s="16"/>
    </row>
    <row r="12" spans="1:16" s="15" customFormat="1" x14ac:dyDescent="0.2">
      <c r="A12" s="26" t="s">
        <v>154</v>
      </c>
      <c r="B12" s="25"/>
      <c r="C12" s="24" t="s">
        <v>153</v>
      </c>
      <c r="D12" s="23">
        <f t="shared" ref="D12:L12" si="1">D13+D14</f>
        <v>130630</v>
      </c>
      <c r="E12" s="13">
        <f t="shared" si="1"/>
        <v>130630</v>
      </c>
      <c r="F12" s="13">
        <f t="shared" si="1"/>
        <v>0</v>
      </c>
      <c r="G12" s="13">
        <f t="shared" si="1"/>
        <v>47480</v>
      </c>
      <c r="H12" s="13">
        <f t="shared" si="1"/>
        <v>0</v>
      </c>
      <c r="I12" s="13">
        <f t="shared" si="1"/>
        <v>83150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>N12</f>
        <v>0</v>
      </c>
      <c r="N12" s="13">
        <f>N13+N14</f>
        <v>0</v>
      </c>
      <c r="O12" s="13">
        <f>O13+O14</f>
        <v>0</v>
      </c>
      <c r="P12" s="16"/>
    </row>
    <row r="13" spans="1:16" s="15" customFormat="1" x14ac:dyDescent="0.2">
      <c r="A13" s="75"/>
      <c r="B13" s="21" t="s">
        <v>152</v>
      </c>
      <c r="C13" s="20" t="s">
        <v>151</v>
      </c>
      <c r="D13" s="19">
        <f>E13+M13</f>
        <v>102550</v>
      </c>
      <c r="E13" s="18">
        <f>F13+G13+H13+I13+J13+K13+L13</f>
        <v>102550</v>
      </c>
      <c r="F13" s="18">
        <v>0</v>
      </c>
      <c r="G13" s="17">
        <v>19400</v>
      </c>
      <c r="H13" s="18">
        <v>0</v>
      </c>
      <c r="I13" s="17">
        <v>83150</v>
      </c>
      <c r="J13" s="18">
        <v>0</v>
      </c>
      <c r="K13" s="17">
        <v>0</v>
      </c>
      <c r="L13" s="18">
        <v>0</v>
      </c>
      <c r="M13" s="18">
        <f>N13</f>
        <v>0</v>
      </c>
      <c r="N13" s="18">
        <v>0</v>
      </c>
      <c r="O13" s="17">
        <v>0</v>
      </c>
      <c r="P13" s="16"/>
    </row>
    <row r="14" spans="1:16" s="15" customFormat="1" ht="25.5" x14ac:dyDescent="0.2">
      <c r="A14" s="77"/>
      <c r="B14" s="21" t="s">
        <v>150</v>
      </c>
      <c r="C14" s="20" t="s">
        <v>149</v>
      </c>
      <c r="D14" s="19">
        <f>E14+M14</f>
        <v>28080</v>
      </c>
      <c r="E14" s="18">
        <f>F14+G14+H14+I14+J14+K14+L14</f>
        <v>28080</v>
      </c>
      <c r="F14" s="18">
        <v>0</v>
      </c>
      <c r="G14" s="17">
        <v>28080</v>
      </c>
      <c r="H14" s="18">
        <v>0</v>
      </c>
      <c r="I14" s="17">
        <v>0</v>
      </c>
      <c r="J14" s="18">
        <v>0</v>
      </c>
      <c r="K14" s="17">
        <v>0</v>
      </c>
      <c r="L14" s="18">
        <v>0</v>
      </c>
      <c r="M14" s="18">
        <f>N14</f>
        <v>0</v>
      </c>
      <c r="N14" s="18">
        <v>0</v>
      </c>
      <c r="O14" s="17">
        <v>0</v>
      </c>
      <c r="P14" s="16"/>
    </row>
    <row r="15" spans="1:16" s="15" customFormat="1" x14ac:dyDescent="0.2">
      <c r="A15" s="26" t="s">
        <v>148</v>
      </c>
      <c r="B15" s="25"/>
      <c r="C15" s="24" t="s">
        <v>147</v>
      </c>
      <c r="D15" s="23">
        <f t="shared" ref="D15:L15" si="2">D16</f>
        <v>3892804</v>
      </c>
      <c r="E15" s="13">
        <f t="shared" si="2"/>
        <v>3892804</v>
      </c>
      <c r="F15" s="13">
        <f t="shared" si="2"/>
        <v>837900</v>
      </c>
      <c r="G15" s="13">
        <f t="shared" si="2"/>
        <v>2740714</v>
      </c>
      <c r="H15" s="13">
        <f t="shared" si="2"/>
        <v>277790</v>
      </c>
      <c r="I15" s="13">
        <f t="shared" si="2"/>
        <v>36400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>N15</f>
        <v>0</v>
      </c>
      <c r="N15" s="13">
        <f>N16</f>
        <v>0</v>
      </c>
      <c r="O15" s="13">
        <f>O16</f>
        <v>0</v>
      </c>
      <c r="P15" s="16"/>
    </row>
    <row r="16" spans="1:16" s="15" customFormat="1" x14ac:dyDescent="0.2">
      <c r="A16" s="57"/>
      <c r="B16" s="21" t="s">
        <v>146</v>
      </c>
      <c r="C16" s="20" t="s">
        <v>145</v>
      </c>
      <c r="D16" s="19">
        <f>E16+M16</f>
        <v>3892804</v>
      </c>
      <c r="E16" s="18">
        <f>F16+G16+H16+I16+J16+K16+L16</f>
        <v>3892804</v>
      </c>
      <c r="F16" s="18">
        <f>837900</f>
        <v>837900</v>
      </c>
      <c r="G16" s="17">
        <f>90000+2646000+4714</f>
        <v>2740714</v>
      </c>
      <c r="H16" s="18">
        <v>277790</v>
      </c>
      <c r="I16" s="17">
        <v>36400</v>
      </c>
      <c r="J16" s="18">
        <v>0</v>
      </c>
      <c r="K16" s="17">
        <v>0</v>
      </c>
      <c r="L16" s="18">
        <v>0</v>
      </c>
      <c r="M16" s="18">
        <f>N16</f>
        <v>0</v>
      </c>
      <c r="N16" s="18">
        <v>0</v>
      </c>
      <c r="O16" s="17">
        <v>0</v>
      </c>
      <c r="P16" s="16"/>
    </row>
    <row r="17" spans="1:16" s="15" customFormat="1" ht="25.5" x14ac:dyDescent="0.2">
      <c r="A17" s="26" t="s">
        <v>144</v>
      </c>
      <c r="B17" s="25"/>
      <c r="C17" s="24" t="s">
        <v>143</v>
      </c>
      <c r="D17" s="23">
        <f t="shared" ref="D17:O17" si="3">D18+D19</f>
        <v>641789</v>
      </c>
      <c r="E17" s="13">
        <f t="shared" si="3"/>
        <v>641789</v>
      </c>
      <c r="F17" s="13">
        <f t="shared" si="3"/>
        <v>125000</v>
      </c>
      <c r="G17" s="13">
        <f t="shared" si="3"/>
        <v>514561</v>
      </c>
      <c r="H17" s="13">
        <f t="shared" si="3"/>
        <v>0</v>
      </c>
      <c r="I17" s="13">
        <f t="shared" si="3"/>
        <v>2228</v>
      </c>
      <c r="J17" s="13">
        <f t="shared" si="3"/>
        <v>0</v>
      </c>
      <c r="K17" s="13">
        <f t="shared" si="3"/>
        <v>0</v>
      </c>
      <c r="L17" s="13">
        <f t="shared" si="3"/>
        <v>0</v>
      </c>
      <c r="M17" s="13">
        <f t="shared" si="3"/>
        <v>0</v>
      </c>
      <c r="N17" s="13">
        <f t="shared" si="3"/>
        <v>0</v>
      </c>
      <c r="O17" s="13">
        <f t="shared" si="3"/>
        <v>0</v>
      </c>
      <c r="P17" s="16"/>
    </row>
    <row r="18" spans="1:16" s="15" customFormat="1" ht="25.5" x14ac:dyDescent="0.2">
      <c r="A18" s="75"/>
      <c r="B18" s="21" t="s">
        <v>142</v>
      </c>
      <c r="C18" s="20" t="s">
        <v>141</v>
      </c>
      <c r="D18" s="19">
        <f>E18+M18</f>
        <v>396200</v>
      </c>
      <c r="E18" s="18">
        <f>F18+G18+H18+I18+J18+K18+L18</f>
        <v>396200</v>
      </c>
      <c r="F18" s="18">
        <v>4200</v>
      </c>
      <c r="G18" s="17">
        <f>18000+245000+129000</f>
        <v>392000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f t="shared" ref="M18:M39" si="4">N18</f>
        <v>0</v>
      </c>
      <c r="N18" s="18">
        <v>0</v>
      </c>
      <c r="O18" s="18">
        <v>0</v>
      </c>
      <c r="P18" s="16"/>
    </row>
    <row r="19" spans="1:16" s="15" customFormat="1" x14ac:dyDescent="0.2">
      <c r="A19" s="77"/>
      <c r="B19" s="21" t="s">
        <v>140</v>
      </c>
      <c r="C19" s="20" t="s">
        <v>2</v>
      </c>
      <c r="D19" s="19">
        <f>E19+M19</f>
        <v>245589</v>
      </c>
      <c r="E19" s="18">
        <f>F19+G19+H19+I19+J19+K19+L19</f>
        <v>245589</v>
      </c>
      <c r="F19" s="18">
        <v>120800</v>
      </c>
      <c r="G19" s="17">
        <f>96800+25761</f>
        <v>122561</v>
      </c>
      <c r="H19" s="18">
        <v>0</v>
      </c>
      <c r="I19" s="17">
        <v>2228</v>
      </c>
      <c r="J19" s="18">
        <v>0</v>
      </c>
      <c r="K19" s="18">
        <v>0</v>
      </c>
      <c r="L19" s="18">
        <v>0</v>
      </c>
      <c r="M19" s="18">
        <f t="shared" si="4"/>
        <v>0</v>
      </c>
      <c r="N19" s="18">
        <v>0</v>
      </c>
      <c r="O19" s="17">
        <v>0</v>
      </c>
      <c r="P19" s="16"/>
    </row>
    <row r="20" spans="1:16" s="15" customFormat="1" ht="25.5" x14ac:dyDescent="0.2">
      <c r="A20" s="26" t="s">
        <v>139</v>
      </c>
      <c r="B20" s="25"/>
      <c r="C20" s="24" t="s">
        <v>138</v>
      </c>
      <c r="D20" s="23">
        <f>SUM(D21:D25)</f>
        <v>1500600</v>
      </c>
      <c r="E20" s="13">
        <f t="shared" ref="E20:L20" si="5">E21+E22+E23+E24+E25</f>
        <v>1500600</v>
      </c>
      <c r="F20" s="13">
        <f t="shared" si="5"/>
        <v>1005012</v>
      </c>
      <c r="G20" s="13">
        <f t="shared" si="5"/>
        <v>493388</v>
      </c>
      <c r="H20" s="13">
        <f t="shared" si="5"/>
        <v>0</v>
      </c>
      <c r="I20" s="13">
        <f t="shared" si="5"/>
        <v>2200</v>
      </c>
      <c r="J20" s="13">
        <f t="shared" si="5"/>
        <v>0</v>
      </c>
      <c r="K20" s="13">
        <f t="shared" si="5"/>
        <v>0</v>
      </c>
      <c r="L20" s="13">
        <f t="shared" si="5"/>
        <v>0</v>
      </c>
      <c r="M20" s="13">
        <f t="shared" si="4"/>
        <v>0</v>
      </c>
      <c r="N20" s="13">
        <f>N21+N22+N23+N24+N25</f>
        <v>0</v>
      </c>
      <c r="O20" s="13">
        <f>O21+O22+O23+O24+O25</f>
        <v>0</v>
      </c>
      <c r="P20" s="16"/>
    </row>
    <row r="21" spans="1:16" s="15" customFormat="1" ht="38.25" x14ac:dyDescent="0.2">
      <c r="A21" s="84"/>
      <c r="B21" s="21" t="s">
        <v>137</v>
      </c>
      <c r="C21" s="20" t="s">
        <v>136</v>
      </c>
      <c r="D21" s="19">
        <f>E21+M21</f>
        <v>868900</v>
      </c>
      <c r="E21" s="18">
        <f>F21+G21+H21+I21+J21+K21+L21</f>
        <v>868900</v>
      </c>
      <c r="F21" s="18">
        <v>738900</v>
      </c>
      <c r="G21" s="17">
        <v>128400</v>
      </c>
      <c r="H21" s="17">
        <v>0</v>
      </c>
      <c r="I21" s="17">
        <v>1600</v>
      </c>
      <c r="J21" s="17">
        <v>0</v>
      </c>
      <c r="K21" s="17">
        <v>0</v>
      </c>
      <c r="L21" s="17">
        <v>0</v>
      </c>
      <c r="M21" s="18">
        <f t="shared" si="4"/>
        <v>0</v>
      </c>
      <c r="N21" s="18">
        <v>0</v>
      </c>
      <c r="O21" s="17">
        <v>0</v>
      </c>
      <c r="P21" s="16"/>
    </row>
    <row r="22" spans="1:16" s="15" customFormat="1" ht="38.25" x14ac:dyDescent="0.2">
      <c r="A22" s="85"/>
      <c r="B22" s="21" t="s">
        <v>135</v>
      </c>
      <c r="C22" s="20" t="s">
        <v>134</v>
      </c>
      <c r="D22" s="19">
        <f>E22+M22</f>
        <v>271700</v>
      </c>
      <c r="E22" s="18">
        <f>F22+G22+H22+I22+J22+K22+L22</f>
        <v>271700</v>
      </c>
      <c r="F22" s="18">
        <v>0</v>
      </c>
      <c r="G22" s="17">
        <f>208000+63700</f>
        <v>271700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f t="shared" si="4"/>
        <v>0</v>
      </c>
      <c r="N22" s="18">
        <v>0</v>
      </c>
      <c r="O22" s="17">
        <v>0</v>
      </c>
      <c r="P22" s="16"/>
    </row>
    <row r="23" spans="1:16" s="15" customFormat="1" ht="25.5" x14ac:dyDescent="0.2">
      <c r="A23" s="85"/>
      <c r="B23" s="21" t="s">
        <v>133</v>
      </c>
      <c r="C23" s="20" t="s">
        <v>132</v>
      </c>
      <c r="D23" s="19">
        <f>E23+M23</f>
        <v>51000</v>
      </c>
      <c r="E23" s="18">
        <f>F23+G23+H23+I23+J23+K23+L23</f>
        <v>51000</v>
      </c>
      <c r="F23" s="18">
        <v>0</v>
      </c>
      <c r="G23" s="17">
        <v>51000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f t="shared" si="4"/>
        <v>0</v>
      </c>
      <c r="N23" s="18">
        <v>0</v>
      </c>
      <c r="O23" s="18">
        <v>0</v>
      </c>
      <c r="P23" s="16"/>
    </row>
    <row r="24" spans="1:16" s="15" customFormat="1" x14ac:dyDescent="0.2">
      <c r="A24" s="85"/>
      <c r="B24" s="21" t="s">
        <v>131</v>
      </c>
      <c r="C24" s="20" t="s">
        <v>130</v>
      </c>
      <c r="D24" s="19">
        <f>E24+M24</f>
        <v>308000</v>
      </c>
      <c r="E24" s="18">
        <f>F24+G24+H24+I24+J24+K24+L24</f>
        <v>308000</v>
      </c>
      <c r="F24" s="18">
        <v>266112</v>
      </c>
      <c r="G24" s="17">
        <v>41288</v>
      </c>
      <c r="H24" s="18">
        <v>0</v>
      </c>
      <c r="I24" s="17">
        <v>600</v>
      </c>
      <c r="J24" s="18">
        <v>0</v>
      </c>
      <c r="K24" s="18">
        <v>0</v>
      </c>
      <c r="L24" s="18">
        <v>0</v>
      </c>
      <c r="M24" s="18">
        <f t="shared" si="4"/>
        <v>0</v>
      </c>
      <c r="N24" s="18">
        <v>0</v>
      </c>
      <c r="O24" s="17">
        <v>0</v>
      </c>
      <c r="P24" s="16"/>
    </row>
    <row r="25" spans="1:16" s="15" customFormat="1" x14ac:dyDescent="0.2">
      <c r="A25" s="86"/>
      <c r="B25" s="21" t="s">
        <v>129</v>
      </c>
      <c r="C25" s="20" t="s">
        <v>2</v>
      </c>
      <c r="D25" s="19">
        <f>E25+M25</f>
        <v>1000</v>
      </c>
      <c r="E25" s="18">
        <f>F25+G25+H25+I25+J25+K25+L25</f>
        <v>1000</v>
      </c>
      <c r="F25" s="18">
        <v>0</v>
      </c>
      <c r="G25" s="17">
        <v>1000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f t="shared" si="4"/>
        <v>0</v>
      </c>
      <c r="N25" s="18">
        <v>0</v>
      </c>
      <c r="O25" s="17">
        <v>0</v>
      </c>
      <c r="P25" s="16"/>
    </row>
    <row r="26" spans="1:16" s="15" customFormat="1" ht="25.5" x14ac:dyDescent="0.2">
      <c r="A26" s="41" t="s">
        <v>128</v>
      </c>
      <c r="B26" s="40"/>
      <c r="C26" s="39" t="s">
        <v>127</v>
      </c>
      <c r="D26" s="38">
        <f>SUM(D27:D32)</f>
        <v>5807100</v>
      </c>
      <c r="E26" s="13">
        <f t="shared" ref="E26:L26" si="6">E27+E28+E29+E30+E31+E32</f>
        <v>5757100</v>
      </c>
      <c r="F26" s="13">
        <f t="shared" si="6"/>
        <v>3800987</v>
      </c>
      <c r="G26" s="13">
        <f t="shared" si="6"/>
        <v>1676913</v>
      </c>
      <c r="H26" s="13">
        <f t="shared" si="6"/>
        <v>0</v>
      </c>
      <c r="I26" s="13">
        <f t="shared" si="6"/>
        <v>279200</v>
      </c>
      <c r="J26" s="13">
        <f t="shared" si="6"/>
        <v>0</v>
      </c>
      <c r="K26" s="13">
        <f t="shared" si="6"/>
        <v>0</v>
      </c>
      <c r="L26" s="13">
        <f t="shared" si="6"/>
        <v>0</v>
      </c>
      <c r="M26" s="13">
        <f t="shared" si="4"/>
        <v>50000</v>
      </c>
      <c r="N26" s="13">
        <f>N27+N28+N29+N30+N31+N32</f>
        <v>50000</v>
      </c>
      <c r="O26" s="13">
        <f>O27+O28+O29+O30+O31+O32</f>
        <v>0</v>
      </c>
      <c r="P26" s="16"/>
    </row>
    <row r="27" spans="1:16" s="15" customFormat="1" x14ac:dyDescent="0.2">
      <c r="A27" s="87"/>
      <c r="B27" s="32" t="s">
        <v>126</v>
      </c>
      <c r="C27" s="31" t="s">
        <v>125</v>
      </c>
      <c r="D27" s="59">
        <f t="shared" ref="D27:D32" si="7">E27+M27</f>
        <v>307200</v>
      </c>
      <c r="E27" s="18">
        <f t="shared" ref="E27:E32" si="8">F27+G27+H27+I27+J27+K27+L27</f>
        <v>307200</v>
      </c>
      <c r="F27" s="18">
        <f>150386+147000</f>
        <v>297386</v>
      </c>
      <c r="G27" s="17">
        <v>9814</v>
      </c>
      <c r="H27" s="17"/>
      <c r="I27" s="17"/>
      <c r="J27" s="17"/>
      <c r="K27" s="17">
        <v>0</v>
      </c>
      <c r="L27" s="17">
        <v>0</v>
      </c>
      <c r="M27" s="18">
        <f t="shared" si="4"/>
        <v>0</v>
      </c>
      <c r="N27" s="18">
        <v>0</v>
      </c>
      <c r="O27" s="17">
        <v>0</v>
      </c>
      <c r="P27" s="16"/>
    </row>
    <row r="28" spans="1:16" s="15" customFormat="1" x14ac:dyDescent="0.2">
      <c r="A28" s="88"/>
      <c r="B28" s="61" t="s">
        <v>124</v>
      </c>
      <c r="C28" s="60" t="s">
        <v>123</v>
      </c>
      <c r="D28" s="59">
        <f t="shared" si="7"/>
        <v>340200</v>
      </c>
      <c r="E28" s="18">
        <f t="shared" si="8"/>
        <v>340200</v>
      </c>
      <c r="F28" s="18">
        <v>50000</v>
      </c>
      <c r="G28" s="17">
        <v>21400</v>
      </c>
      <c r="H28" s="18">
        <v>0</v>
      </c>
      <c r="I28" s="17">
        <v>268800</v>
      </c>
      <c r="J28" s="17">
        <v>0</v>
      </c>
      <c r="K28" s="17">
        <v>0</v>
      </c>
      <c r="L28" s="17">
        <v>0</v>
      </c>
      <c r="M28" s="18">
        <f t="shared" si="4"/>
        <v>0</v>
      </c>
      <c r="N28" s="18">
        <v>0</v>
      </c>
      <c r="O28" s="17">
        <v>0</v>
      </c>
      <c r="P28" s="16"/>
    </row>
    <row r="29" spans="1:16" s="15" customFormat="1" x14ac:dyDescent="0.2">
      <c r="A29" s="88"/>
      <c r="B29" s="32" t="s">
        <v>122</v>
      </c>
      <c r="C29" s="31" t="s">
        <v>121</v>
      </c>
      <c r="D29" s="59">
        <f t="shared" si="7"/>
        <v>5017100</v>
      </c>
      <c r="E29" s="18">
        <f t="shared" si="8"/>
        <v>4967100</v>
      </c>
      <c r="F29" s="18">
        <v>3430000</v>
      </c>
      <c r="G29" s="17">
        <f>735000+776100+15600</f>
        <v>1526700</v>
      </c>
      <c r="H29" s="18">
        <v>0</v>
      </c>
      <c r="I29" s="17">
        <v>10400</v>
      </c>
      <c r="J29" s="17">
        <v>0</v>
      </c>
      <c r="K29" s="17">
        <v>0</v>
      </c>
      <c r="L29" s="17">
        <v>0</v>
      </c>
      <c r="M29" s="18">
        <f t="shared" si="4"/>
        <v>50000</v>
      </c>
      <c r="N29" s="18">
        <v>50000</v>
      </c>
      <c r="O29" s="17">
        <v>0</v>
      </c>
      <c r="P29" s="16"/>
    </row>
    <row r="30" spans="1:16" s="15" customFormat="1" x14ac:dyDescent="0.2">
      <c r="A30" s="88"/>
      <c r="B30" s="32" t="s">
        <v>120</v>
      </c>
      <c r="C30" s="31" t="s">
        <v>119</v>
      </c>
      <c r="D30" s="59">
        <f t="shared" si="7"/>
        <v>32500</v>
      </c>
      <c r="E30" s="18">
        <f t="shared" si="8"/>
        <v>32500</v>
      </c>
      <c r="F30" s="18">
        <v>23601</v>
      </c>
      <c r="G30" s="17">
        <f>6399+2500</f>
        <v>8899</v>
      </c>
      <c r="H30" s="18">
        <v>0</v>
      </c>
      <c r="I30" s="17">
        <v>0</v>
      </c>
      <c r="J30" s="17">
        <v>0</v>
      </c>
      <c r="K30" s="17">
        <v>0</v>
      </c>
      <c r="L30" s="17">
        <v>0</v>
      </c>
      <c r="M30" s="18">
        <f t="shared" si="4"/>
        <v>0</v>
      </c>
      <c r="N30" s="18">
        <v>0</v>
      </c>
      <c r="O30" s="17">
        <v>0</v>
      </c>
      <c r="P30" s="16"/>
    </row>
    <row r="31" spans="1:16" s="15" customFormat="1" ht="25.5" x14ac:dyDescent="0.2">
      <c r="A31" s="88"/>
      <c r="B31" s="32" t="s">
        <v>118</v>
      </c>
      <c r="C31" s="31" t="s">
        <v>117</v>
      </c>
      <c r="D31" s="59">
        <f t="shared" si="7"/>
        <v>39200</v>
      </c>
      <c r="E31" s="18">
        <f t="shared" si="8"/>
        <v>39200</v>
      </c>
      <c r="F31" s="18">
        <v>0</v>
      </c>
      <c r="G31" s="17">
        <f>9800+29400</f>
        <v>39200</v>
      </c>
      <c r="H31" s="18">
        <v>0</v>
      </c>
      <c r="I31" s="17">
        <v>0</v>
      </c>
      <c r="J31" s="17">
        <v>0</v>
      </c>
      <c r="K31" s="17">
        <v>0</v>
      </c>
      <c r="L31" s="17">
        <v>0</v>
      </c>
      <c r="M31" s="18">
        <f t="shared" si="4"/>
        <v>0</v>
      </c>
      <c r="N31" s="18">
        <v>0</v>
      </c>
      <c r="O31" s="17">
        <v>0</v>
      </c>
      <c r="P31" s="16"/>
    </row>
    <row r="32" spans="1:16" s="15" customFormat="1" x14ac:dyDescent="0.2">
      <c r="A32" s="89"/>
      <c r="B32" s="32" t="s">
        <v>116</v>
      </c>
      <c r="C32" s="31" t="s">
        <v>115</v>
      </c>
      <c r="D32" s="59">
        <f t="shared" si="7"/>
        <v>70900</v>
      </c>
      <c r="E32" s="18">
        <f t="shared" si="8"/>
        <v>70900</v>
      </c>
      <c r="F32" s="18">
        <v>0</v>
      </c>
      <c r="G32" s="17">
        <v>70900</v>
      </c>
      <c r="H32" s="18">
        <v>0</v>
      </c>
      <c r="I32" s="17">
        <v>0</v>
      </c>
      <c r="J32" s="17">
        <v>0</v>
      </c>
      <c r="K32" s="17">
        <v>0</v>
      </c>
      <c r="L32" s="17">
        <v>0</v>
      </c>
      <c r="M32" s="18">
        <f t="shared" si="4"/>
        <v>0</v>
      </c>
      <c r="N32" s="18">
        <v>0</v>
      </c>
      <c r="O32" s="17">
        <v>0</v>
      </c>
      <c r="P32" s="16"/>
    </row>
    <row r="33" spans="1:16" s="15" customFormat="1" ht="38.25" x14ac:dyDescent="0.2">
      <c r="A33" s="26" t="s">
        <v>114</v>
      </c>
      <c r="B33" s="30"/>
      <c r="C33" s="29" t="s">
        <v>113</v>
      </c>
      <c r="D33" s="28">
        <f>SUM(D34:D36)</f>
        <v>5781760</v>
      </c>
      <c r="E33" s="13">
        <f t="shared" ref="E33:L33" si="9">E34+E35+E36</f>
        <v>4738760</v>
      </c>
      <c r="F33" s="13">
        <f t="shared" si="9"/>
        <v>3987785</v>
      </c>
      <c r="G33" s="13">
        <f t="shared" si="9"/>
        <v>507989</v>
      </c>
      <c r="H33" s="13">
        <f t="shared" si="9"/>
        <v>0</v>
      </c>
      <c r="I33" s="13">
        <f t="shared" si="9"/>
        <v>242986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4"/>
        <v>1043000</v>
      </c>
      <c r="N33" s="13">
        <f>N34+N35+N36</f>
        <v>1043000</v>
      </c>
      <c r="O33" s="13">
        <f>O34+O35+O36</f>
        <v>0</v>
      </c>
      <c r="P33" s="16"/>
    </row>
    <row r="34" spans="1:16" s="15" customFormat="1" ht="38.25" x14ac:dyDescent="0.2">
      <c r="A34" s="75"/>
      <c r="B34" s="21" t="s">
        <v>112</v>
      </c>
      <c r="C34" s="20" t="s">
        <v>111</v>
      </c>
      <c r="D34" s="19">
        <f>E34+M34</f>
        <v>5674000</v>
      </c>
      <c r="E34" s="18">
        <f>F34+G34+H34+I34+J34+K34+L34</f>
        <v>4631000</v>
      </c>
      <c r="F34" s="18">
        <v>3890785</v>
      </c>
      <c r="G34" s="17">
        <v>497229</v>
      </c>
      <c r="H34" s="18">
        <v>0</v>
      </c>
      <c r="I34" s="17">
        <v>242986</v>
      </c>
      <c r="J34" s="18">
        <v>0</v>
      </c>
      <c r="K34" s="18">
        <v>0</v>
      </c>
      <c r="L34" s="18">
        <v>0</v>
      </c>
      <c r="M34" s="18">
        <f t="shared" si="4"/>
        <v>1043000</v>
      </c>
      <c r="N34" s="18">
        <v>1043000</v>
      </c>
      <c r="O34" s="17">
        <v>0</v>
      </c>
      <c r="P34" s="16"/>
    </row>
    <row r="35" spans="1:16" s="15" customFormat="1" x14ac:dyDescent="0.2">
      <c r="A35" s="76"/>
      <c r="B35" s="21" t="s">
        <v>110</v>
      </c>
      <c r="C35" s="20" t="s">
        <v>109</v>
      </c>
      <c r="D35" s="19">
        <f>E35+M35</f>
        <v>98760</v>
      </c>
      <c r="E35" s="18">
        <f>F35+G35+H35+I35+J35+K35+L35</f>
        <v>98760</v>
      </c>
      <c r="F35" s="18">
        <v>97000</v>
      </c>
      <c r="G35" s="17">
        <v>1760</v>
      </c>
      <c r="H35" s="18">
        <v>0</v>
      </c>
      <c r="I35" s="17">
        <v>0</v>
      </c>
      <c r="J35" s="18">
        <v>0</v>
      </c>
      <c r="K35" s="18">
        <v>0</v>
      </c>
      <c r="L35" s="18">
        <v>0</v>
      </c>
      <c r="M35" s="18">
        <f t="shared" si="4"/>
        <v>0</v>
      </c>
      <c r="N35" s="18">
        <v>0</v>
      </c>
      <c r="O35" s="17">
        <v>0</v>
      </c>
      <c r="P35" s="16"/>
    </row>
    <row r="36" spans="1:16" s="15" customFormat="1" x14ac:dyDescent="0.2">
      <c r="A36" s="77"/>
      <c r="B36" s="21" t="s">
        <v>108</v>
      </c>
      <c r="C36" s="20" t="s">
        <v>2</v>
      </c>
      <c r="D36" s="19">
        <f>E36+M36</f>
        <v>9000</v>
      </c>
      <c r="E36" s="18">
        <f>F36+G36+H36+I36+J36+K36+L36</f>
        <v>9000</v>
      </c>
      <c r="F36" s="18">
        <v>0</v>
      </c>
      <c r="G36" s="17">
        <v>9000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f t="shared" si="4"/>
        <v>0</v>
      </c>
      <c r="N36" s="18">
        <v>0</v>
      </c>
      <c r="O36" s="17">
        <v>0</v>
      </c>
      <c r="P36" s="16"/>
    </row>
    <row r="37" spans="1:16" s="15" customFormat="1" ht="25.5" x14ac:dyDescent="0.2">
      <c r="A37" s="26" t="s">
        <v>107</v>
      </c>
      <c r="B37" s="25"/>
      <c r="C37" s="24" t="s">
        <v>106</v>
      </c>
      <c r="D37" s="23">
        <f>SUM(D38:D39)</f>
        <v>1324224</v>
      </c>
      <c r="E37" s="13">
        <f t="shared" ref="E37:L37" si="10">E38+E39</f>
        <v>1324224</v>
      </c>
      <c r="F37" s="13">
        <f t="shared" si="10"/>
        <v>0</v>
      </c>
      <c r="G37" s="13">
        <f t="shared" si="10"/>
        <v>0</v>
      </c>
      <c r="H37" s="13">
        <f t="shared" si="10"/>
        <v>0</v>
      </c>
      <c r="I37" s="13">
        <f t="shared" si="10"/>
        <v>0</v>
      </c>
      <c r="J37" s="13">
        <f t="shared" si="10"/>
        <v>0</v>
      </c>
      <c r="K37" s="13">
        <f t="shared" si="10"/>
        <v>0</v>
      </c>
      <c r="L37" s="13">
        <f t="shared" si="10"/>
        <v>1324224</v>
      </c>
      <c r="M37" s="13">
        <f t="shared" si="4"/>
        <v>0</v>
      </c>
      <c r="N37" s="13">
        <f>N38+N39</f>
        <v>0</v>
      </c>
      <c r="O37" s="13">
        <f>O38+O39</f>
        <v>0</v>
      </c>
      <c r="P37" s="16"/>
    </row>
    <row r="38" spans="1:16" s="15" customFormat="1" ht="51" x14ac:dyDescent="0.2">
      <c r="A38" s="75"/>
      <c r="B38" s="21" t="s">
        <v>105</v>
      </c>
      <c r="C38" s="20" t="s">
        <v>104</v>
      </c>
      <c r="D38" s="19">
        <f>E38+M38</f>
        <v>1324224</v>
      </c>
      <c r="E38" s="18">
        <f>F38+G38+H38+I38+J38+K38+L38</f>
        <v>1324224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1324224</v>
      </c>
      <c r="M38" s="18">
        <f t="shared" si="4"/>
        <v>0</v>
      </c>
      <c r="N38" s="18">
        <v>0</v>
      </c>
      <c r="O38" s="17">
        <v>0</v>
      </c>
      <c r="P38" s="16"/>
    </row>
    <row r="39" spans="1:16" s="15" customFormat="1" ht="63.75" x14ac:dyDescent="0.2">
      <c r="A39" s="77"/>
      <c r="B39" s="21" t="s">
        <v>103</v>
      </c>
      <c r="C39" s="20" t="s">
        <v>102</v>
      </c>
      <c r="D39" s="19">
        <f>E39+M39</f>
        <v>0</v>
      </c>
      <c r="E39" s="18">
        <f>F39+G39+H39+I39+J39+K39+L39</f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f t="shared" si="4"/>
        <v>0</v>
      </c>
      <c r="N39" s="18">
        <v>0</v>
      </c>
      <c r="O39" s="17">
        <v>0</v>
      </c>
      <c r="P39" s="58"/>
    </row>
    <row r="40" spans="1:16" s="15" customFormat="1" x14ac:dyDescent="0.2">
      <c r="A40" s="26" t="s">
        <v>101</v>
      </c>
      <c r="B40" s="25"/>
      <c r="C40" s="24" t="s">
        <v>100</v>
      </c>
      <c r="D40" s="23">
        <f>E40+M40</f>
        <v>585305</v>
      </c>
      <c r="E40" s="13">
        <f>F40+G40+H40+I40+J40+K40+L40</f>
        <v>585305</v>
      </c>
      <c r="F40" s="13">
        <f t="shared" ref="F40:O40" si="11">F41</f>
        <v>0</v>
      </c>
      <c r="G40" s="13">
        <f t="shared" si="11"/>
        <v>585305</v>
      </c>
      <c r="H40" s="13">
        <f t="shared" si="11"/>
        <v>0</v>
      </c>
      <c r="I40" s="13">
        <f t="shared" si="11"/>
        <v>0</v>
      </c>
      <c r="J40" s="13">
        <f t="shared" si="11"/>
        <v>0</v>
      </c>
      <c r="K40" s="13">
        <f t="shared" si="11"/>
        <v>0</v>
      </c>
      <c r="L40" s="13">
        <f t="shared" si="11"/>
        <v>0</v>
      </c>
      <c r="M40" s="13">
        <f t="shared" si="11"/>
        <v>0</v>
      </c>
      <c r="N40" s="13">
        <f t="shared" si="11"/>
        <v>0</v>
      </c>
      <c r="O40" s="13">
        <f t="shared" si="11"/>
        <v>0</v>
      </c>
      <c r="P40" s="16"/>
    </row>
    <row r="41" spans="1:16" s="15" customFormat="1" x14ac:dyDescent="0.2">
      <c r="A41" s="57"/>
      <c r="B41" s="21" t="s">
        <v>99</v>
      </c>
      <c r="C41" s="20" t="s">
        <v>98</v>
      </c>
      <c r="D41" s="19">
        <f>E41+M41</f>
        <v>585305</v>
      </c>
      <c r="E41" s="18">
        <f>F41+G41+H41+I41+J41+K41+L41</f>
        <v>585305</v>
      </c>
      <c r="F41" s="18">
        <v>0</v>
      </c>
      <c r="G41" s="17">
        <v>585305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f t="shared" ref="M41:M65" si="12">N41</f>
        <v>0</v>
      </c>
      <c r="N41" s="18">
        <v>0</v>
      </c>
      <c r="O41" s="17">
        <v>0</v>
      </c>
      <c r="P41" s="16"/>
    </row>
    <row r="42" spans="1:16" s="15" customFormat="1" ht="25.5" x14ac:dyDescent="0.2">
      <c r="A42" s="26" t="s">
        <v>97</v>
      </c>
      <c r="B42" s="25"/>
      <c r="C42" s="24" t="s">
        <v>96</v>
      </c>
      <c r="D42" s="23">
        <f t="shared" ref="D42:L42" si="13">SUM(D43:D51)</f>
        <v>30437476</v>
      </c>
      <c r="E42" s="23">
        <f t="shared" si="13"/>
        <v>22366402</v>
      </c>
      <c r="F42" s="23">
        <f t="shared" si="13"/>
        <v>17404798</v>
      </c>
      <c r="G42" s="23">
        <f t="shared" si="13"/>
        <v>3051281</v>
      </c>
      <c r="H42" s="23">
        <f t="shared" si="13"/>
        <v>1724800</v>
      </c>
      <c r="I42" s="23">
        <f t="shared" si="13"/>
        <v>98379</v>
      </c>
      <c r="J42" s="23">
        <f t="shared" si="13"/>
        <v>87144</v>
      </c>
      <c r="K42" s="23">
        <f t="shared" si="13"/>
        <v>0</v>
      </c>
      <c r="L42" s="23">
        <f t="shared" si="13"/>
        <v>0</v>
      </c>
      <c r="M42" s="23">
        <f t="shared" si="12"/>
        <v>8071074</v>
      </c>
      <c r="N42" s="23">
        <f>SUM(N43:N51)</f>
        <v>8071074</v>
      </c>
      <c r="O42" s="27">
        <f>SUM(O43:O51)</f>
        <v>7871074</v>
      </c>
      <c r="P42" s="16"/>
    </row>
    <row r="43" spans="1:16" s="15" customFormat="1" ht="25.5" x14ac:dyDescent="0.2">
      <c r="A43" s="56"/>
      <c r="B43" s="21" t="s">
        <v>95</v>
      </c>
      <c r="C43" s="20" t="s">
        <v>94</v>
      </c>
      <c r="D43" s="19">
        <f t="shared" ref="D43:D51" si="14">E43+M43</f>
        <v>10052566</v>
      </c>
      <c r="E43" s="18">
        <f t="shared" ref="E43:E51" si="15">F43+G43+H43+I43+J43+K43+L43</f>
        <v>2181492</v>
      </c>
      <c r="F43" s="18">
        <f>54000+17900+732100+1048800</f>
        <v>1852800</v>
      </c>
      <c r="G43" s="17">
        <f>1600+82800+151000</f>
        <v>235400</v>
      </c>
      <c r="H43" s="18">
        <v>0</v>
      </c>
      <c r="I43" s="17">
        <f>2948+3200</f>
        <v>6148</v>
      </c>
      <c r="J43" s="18">
        <v>87144</v>
      </c>
      <c r="K43" s="17">
        <v>0</v>
      </c>
      <c r="L43" s="18">
        <v>0</v>
      </c>
      <c r="M43" s="18">
        <f t="shared" si="12"/>
        <v>7871074</v>
      </c>
      <c r="N43" s="18">
        <f>O43</f>
        <v>7871074</v>
      </c>
      <c r="O43" s="17">
        <v>7871074</v>
      </c>
      <c r="P43" s="16"/>
    </row>
    <row r="44" spans="1:16" s="15" customFormat="1" x14ac:dyDescent="0.2">
      <c r="A44" s="54"/>
      <c r="B44" s="21" t="s">
        <v>93</v>
      </c>
      <c r="C44" s="20" t="s">
        <v>92</v>
      </c>
      <c r="D44" s="19">
        <f t="shared" si="14"/>
        <v>1538142</v>
      </c>
      <c r="E44" s="18">
        <f t="shared" si="15"/>
        <v>1538142</v>
      </c>
      <c r="F44" s="18">
        <f>149900+704000+575700</f>
        <v>1429600</v>
      </c>
      <c r="G44" s="17">
        <f>69700+36000</f>
        <v>105700</v>
      </c>
      <c r="H44" s="18">
        <v>0</v>
      </c>
      <c r="I44" s="17">
        <f>842+2000</f>
        <v>2842</v>
      </c>
      <c r="J44" s="18">
        <v>0</v>
      </c>
      <c r="K44" s="17">
        <v>0</v>
      </c>
      <c r="L44" s="18">
        <v>0</v>
      </c>
      <c r="M44" s="18">
        <f t="shared" si="12"/>
        <v>0</v>
      </c>
      <c r="N44" s="18">
        <v>0</v>
      </c>
      <c r="O44" s="17">
        <v>0</v>
      </c>
      <c r="P44" s="16"/>
    </row>
    <row r="45" spans="1:16" s="15" customFormat="1" ht="25.5" x14ac:dyDescent="0.2">
      <c r="A45" s="54"/>
      <c r="B45" s="21" t="s">
        <v>91</v>
      </c>
      <c r="C45" s="20" t="s">
        <v>90</v>
      </c>
      <c r="D45" s="19">
        <f t="shared" si="14"/>
        <v>23000</v>
      </c>
      <c r="E45" s="18">
        <f t="shared" si="15"/>
        <v>23000</v>
      </c>
      <c r="F45" s="18">
        <v>17680</v>
      </c>
      <c r="G45" s="17">
        <v>5320</v>
      </c>
      <c r="H45" s="18">
        <v>0</v>
      </c>
      <c r="I45" s="17">
        <v>0</v>
      </c>
      <c r="J45" s="18">
        <v>0</v>
      </c>
      <c r="K45" s="17">
        <v>0</v>
      </c>
      <c r="L45" s="18">
        <v>0</v>
      </c>
      <c r="M45" s="18">
        <f t="shared" si="12"/>
        <v>0</v>
      </c>
      <c r="N45" s="18">
        <v>0</v>
      </c>
      <c r="O45" s="17">
        <v>0</v>
      </c>
      <c r="P45" s="16"/>
    </row>
    <row r="46" spans="1:16" s="15" customFormat="1" x14ac:dyDescent="0.2">
      <c r="A46" s="54"/>
      <c r="B46" s="21" t="s">
        <v>89</v>
      </c>
      <c r="C46" s="20" t="s">
        <v>88</v>
      </c>
      <c r="D46" s="19">
        <f t="shared" si="14"/>
        <v>6605687</v>
      </c>
      <c r="E46" s="18">
        <f t="shared" si="15"/>
        <v>6605687</v>
      </c>
      <c r="F46" s="18">
        <f>451900+22600+2243400+1275700+289000</f>
        <v>4282600</v>
      </c>
      <c r="G46" s="17">
        <f>598300+256000+69000</f>
        <v>923300</v>
      </c>
      <c r="H46" s="18">
        <v>1372000</v>
      </c>
      <c r="I46" s="17">
        <f>6474+2500+18813</f>
        <v>27787</v>
      </c>
      <c r="J46" s="18">
        <v>0</v>
      </c>
      <c r="K46" s="17">
        <v>0</v>
      </c>
      <c r="L46" s="18">
        <v>0</v>
      </c>
      <c r="M46" s="18">
        <f t="shared" si="12"/>
        <v>0</v>
      </c>
      <c r="N46" s="18"/>
      <c r="O46" s="17">
        <v>0</v>
      </c>
      <c r="P46" s="16"/>
    </row>
    <row r="47" spans="1:16" s="15" customFormat="1" x14ac:dyDescent="0.2">
      <c r="A47" s="54"/>
      <c r="B47" s="21" t="s">
        <v>87</v>
      </c>
      <c r="C47" s="20" t="s">
        <v>86</v>
      </c>
      <c r="D47" s="19">
        <f t="shared" si="14"/>
        <v>9499587</v>
      </c>
      <c r="E47" s="18">
        <f t="shared" si="15"/>
        <v>9499587</v>
      </c>
      <c r="F47" s="18">
        <f>382000+48000+3520000+752100+3054707</f>
        <v>7756807</v>
      </c>
      <c r="G47" s="17">
        <f>714000+137300+486250</f>
        <v>1337550</v>
      </c>
      <c r="H47" s="18">
        <v>352800</v>
      </c>
      <c r="I47" s="17">
        <f>7821+32314+12295</f>
        <v>52430</v>
      </c>
      <c r="J47" s="18">
        <v>0</v>
      </c>
      <c r="K47" s="17">
        <v>0</v>
      </c>
      <c r="L47" s="18">
        <v>0</v>
      </c>
      <c r="M47" s="18">
        <f t="shared" si="12"/>
        <v>0</v>
      </c>
      <c r="N47" s="18"/>
      <c r="O47" s="17">
        <v>0</v>
      </c>
      <c r="P47" s="16"/>
    </row>
    <row r="48" spans="1:16" s="15" customFormat="1" x14ac:dyDescent="0.2">
      <c r="A48" s="54"/>
      <c r="B48" s="21" t="s">
        <v>85</v>
      </c>
      <c r="C48" s="20" t="s">
        <v>84</v>
      </c>
      <c r="D48" s="19">
        <f t="shared" si="14"/>
        <v>1488539</v>
      </c>
      <c r="E48" s="18">
        <f t="shared" si="15"/>
        <v>1488539</v>
      </c>
      <c r="F48" s="18">
        <f>24200+12900+1289729</f>
        <v>1326829</v>
      </c>
      <c r="G48" s="17">
        <v>159749</v>
      </c>
      <c r="H48" s="18">
        <v>0</v>
      </c>
      <c r="I48" s="17">
        <v>1961</v>
      </c>
      <c r="J48" s="18">
        <v>0</v>
      </c>
      <c r="K48" s="17">
        <v>0</v>
      </c>
      <c r="L48" s="18">
        <v>0</v>
      </c>
      <c r="M48" s="18">
        <f t="shared" si="12"/>
        <v>0</v>
      </c>
      <c r="N48" s="18"/>
      <c r="O48" s="17">
        <v>0</v>
      </c>
      <c r="P48" s="16"/>
    </row>
    <row r="49" spans="1:16" s="15" customFormat="1" ht="25.5" x14ac:dyDescent="0.2">
      <c r="A49" s="55"/>
      <c r="B49" s="45" t="s">
        <v>83</v>
      </c>
      <c r="C49" s="20" t="s">
        <v>82</v>
      </c>
      <c r="D49" s="19">
        <f t="shared" si="14"/>
        <v>537561</v>
      </c>
      <c r="E49" s="18">
        <f t="shared" si="15"/>
        <v>537561</v>
      </c>
      <c r="F49" s="18">
        <f>3300+364000+135600</f>
        <v>502900</v>
      </c>
      <c r="G49" s="17">
        <f>25900+7900</f>
        <v>33800</v>
      </c>
      <c r="H49" s="18">
        <v>0</v>
      </c>
      <c r="I49" s="17">
        <f>562+299</f>
        <v>861</v>
      </c>
      <c r="J49" s="18">
        <v>0</v>
      </c>
      <c r="K49" s="17">
        <v>0</v>
      </c>
      <c r="L49" s="18">
        <v>0</v>
      </c>
      <c r="M49" s="18">
        <f t="shared" si="12"/>
        <v>0</v>
      </c>
      <c r="N49" s="18">
        <v>0</v>
      </c>
      <c r="O49" s="17">
        <v>0</v>
      </c>
      <c r="P49" s="16"/>
    </row>
    <row r="50" spans="1:16" s="15" customFormat="1" ht="25.5" x14ac:dyDescent="0.2">
      <c r="A50" s="54"/>
      <c r="B50" s="44" t="s">
        <v>81</v>
      </c>
      <c r="C50" s="20" t="s">
        <v>25</v>
      </c>
      <c r="D50" s="19">
        <f t="shared" si="14"/>
        <v>128200</v>
      </c>
      <c r="E50" s="18">
        <f t="shared" si="15"/>
        <v>128200</v>
      </c>
      <c r="F50" s="18">
        <f>13200</f>
        <v>13200</v>
      </c>
      <c r="G50" s="17">
        <v>115000</v>
      </c>
      <c r="H50" s="18">
        <v>0</v>
      </c>
      <c r="I50" s="17">
        <v>0</v>
      </c>
      <c r="J50" s="18">
        <v>0</v>
      </c>
      <c r="K50" s="17">
        <v>0</v>
      </c>
      <c r="L50" s="18">
        <v>0</v>
      </c>
      <c r="M50" s="18">
        <f t="shared" si="12"/>
        <v>0</v>
      </c>
      <c r="N50" s="18">
        <v>0</v>
      </c>
      <c r="O50" s="17">
        <v>0</v>
      </c>
      <c r="P50" s="16"/>
    </row>
    <row r="51" spans="1:16" s="15" customFormat="1" x14ac:dyDescent="0.2">
      <c r="A51" s="53"/>
      <c r="B51" s="44" t="s">
        <v>80</v>
      </c>
      <c r="C51" s="50" t="s">
        <v>2</v>
      </c>
      <c r="D51" s="49">
        <f t="shared" si="14"/>
        <v>564194</v>
      </c>
      <c r="E51" s="18">
        <f t="shared" si="15"/>
        <v>364194</v>
      </c>
      <c r="F51" s="18">
        <v>222382</v>
      </c>
      <c r="G51" s="17">
        <f>132462+3000</f>
        <v>135462</v>
      </c>
      <c r="H51" s="18">
        <v>0</v>
      </c>
      <c r="I51" s="17">
        <v>6350</v>
      </c>
      <c r="J51" s="18">
        <v>0</v>
      </c>
      <c r="K51" s="17">
        <v>0</v>
      </c>
      <c r="L51" s="18">
        <v>0</v>
      </c>
      <c r="M51" s="18">
        <f t="shared" si="12"/>
        <v>200000</v>
      </c>
      <c r="N51" s="18">
        <v>200000</v>
      </c>
      <c r="O51" s="17">
        <v>0</v>
      </c>
      <c r="P51" s="16"/>
    </row>
    <row r="52" spans="1:16" s="15" customFormat="1" x14ac:dyDescent="0.2">
      <c r="A52" s="26" t="s">
        <v>79</v>
      </c>
      <c r="B52" s="25"/>
      <c r="C52" s="24" t="s">
        <v>78</v>
      </c>
      <c r="D52" s="23">
        <f t="shared" ref="D52:L52" si="16">SUM(D53:D55)</f>
        <v>8882500</v>
      </c>
      <c r="E52" s="23">
        <f t="shared" si="16"/>
        <v>2682500</v>
      </c>
      <c r="F52" s="23">
        <f t="shared" si="16"/>
        <v>10700</v>
      </c>
      <c r="G52" s="23">
        <f t="shared" si="16"/>
        <v>2671800</v>
      </c>
      <c r="H52" s="23">
        <f t="shared" si="16"/>
        <v>0</v>
      </c>
      <c r="I52" s="23">
        <f t="shared" si="16"/>
        <v>0</v>
      </c>
      <c r="J52" s="23">
        <f t="shared" si="16"/>
        <v>0</v>
      </c>
      <c r="K52" s="23">
        <f t="shared" si="16"/>
        <v>0</v>
      </c>
      <c r="L52" s="23">
        <f t="shared" si="16"/>
        <v>0</v>
      </c>
      <c r="M52" s="23">
        <f t="shared" si="12"/>
        <v>6200000</v>
      </c>
      <c r="N52" s="23">
        <f>SUM(N53:N55)</f>
        <v>6200000</v>
      </c>
      <c r="O52" s="27">
        <f>SUM(O53:O55)</f>
        <v>0</v>
      </c>
      <c r="P52" s="16"/>
    </row>
    <row r="53" spans="1:16" s="15" customFormat="1" x14ac:dyDescent="0.2">
      <c r="A53" s="75"/>
      <c r="B53" s="45" t="s">
        <v>77</v>
      </c>
      <c r="C53" s="52" t="s">
        <v>76</v>
      </c>
      <c r="D53" s="51">
        <f>E53+M53</f>
        <v>6310000</v>
      </c>
      <c r="E53" s="18">
        <f>F53+G53+H53+I53+J53+K53+L53</f>
        <v>110000</v>
      </c>
      <c r="F53" s="18">
        <v>0</v>
      </c>
      <c r="G53" s="17">
        <v>110000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f t="shared" si="12"/>
        <v>6200000</v>
      </c>
      <c r="N53" s="18">
        <f>600000+5600000</f>
        <v>6200000</v>
      </c>
      <c r="O53" s="17">
        <v>0</v>
      </c>
      <c r="P53" s="16"/>
    </row>
    <row r="54" spans="1:16" s="15" customFormat="1" x14ac:dyDescent="0.2">
      <c r="A54" s="76"/>
      <c r="B54" s="45" t="s">
        <v>75</v>
      </c>
      <c r="C54" s="52" t="s">
        <v>74</v>
      </c>
      <c r="D54" s="51">
        <f>E54+M54</f>
        <v>20500</v>
      </c>
      <c r="E54" s="18">
        <f>F54+G54+H54+I54+J54+K54+L54</f>
        <v>20500</v>
      </c>
      <c r="F54" s="18">
        <v>10700</v>
      </c>
      <c r="G54" s="17">
        <v>9800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f t="shared" si="12"/>
        <v>0</v>
      </c>
      <c r="N54" s="18">
        <v>0</v>
      </c>
      <c r="O54" s="17">
        <v>0</v>
      </c>
      <c r="P54" s="16"/>
    </row>
    <row r="55" spans="1:16" s="15" customFormat="1" ht="63.75" x14ac:dyDescent="0.2">
      <c r="A55" s="77"/>
      <c r="B55" s="44" t="s">
        <v>73</v>
      </c>
      <c r="C55" s="50" t="s">
        <v>72</v>
      </c>
      <c r="D55" s="49">
        <f>E55+M55</f>
        <v>2552000</v>
      </c>
      <c r="E55" s="18">
        <f>F55+G55+H55+I55+J55+K55+L55</f>
        <v>2552000</v>
      </c>
      <c r="F55" s="18">
        <v>0</v>
      </c>
      <c r="G55" s="17">
        <v>2552000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f t="shared" si="12"/>
        <v>0</v>
      </c>
      <c r="N55" s="18">
        <v>0</v>
      </c>
      <c r="O55" s="17">
        <v>0</v>
      </c>
      <c r="P55" s="16"/>
    </row>
    <row r="56" spans="1:16" s="15" customFormat="1" x14ac:dyDescent="0.2">
      <c r="A56" s="26" t="s">
        <v>71</v>
      </c>
      <c r="B56" s="25"/>
      <c r="C56" s="24" t="s">
        <v>70</v>
      </c>
      <c r="D56" s="23">
        <f t="shared" ref="D56:L56" si="17">SUM(D57:D64)</f>
        <v>16398718</v>
      </c>
      <c r="E56" s="23">
        <f t="shared" si="17"/>
        <v>12936476</v>
      </c>
      <c r="F56" s="23">
        <f t="shared" si="17"/>
        <v>7834449</v>
      </c>
      <c r="G56" s="23">
        <f t="shared" si="17"/>
        <v>1940206</v>
      </c>
      <c r="H56" s="23">
        <f t="shared" si="17"/>
        <v>265136</v>
      </c>
      <c r="I56" s="23">
        <f t="shared" si="17"/>
        <v>2896685</v>
      </c>
      <c r="J56" s="23">
        <f t="shared" si="17"/>
        <v>0</v>
      </c>
      <c r="K56" s="23">
        <f t="shared" si="17"/>
        <v>0</v>
      </c>
      <c r="L56" s="23">
        <f t="shared" si="17"/>
        <v>0</v>
      </c>
      <c r="M56" s="23">
        <f t="shared" si="12"/>
        <v>3462242</v>
      </c>
      <c r="N56" s="23">
        <f>SUM(N57:N64)</f>
        <v>3462242</v>
      </c>
      <c r="O56" s="27">
        <f>SUM(O57:O64)</f>
        <v>0</v>
      </c>
      <c r="P56" s="16"/>
    </row>
    <row r="57" spans="1:16" s="15" customFormat="1" ht="25.5" x14ac:dyDescent="0.2">
      <c r="A57" s="75"/>
      <c r="B57" s="21" t="s">
        <v>69</v>
      </c>
      <c r="C57" s="48" t="s">
        <v>68</v>
      </c>
      <c r="D57" s="19">
        <f t="shared" ref="D57:D64" si="18">E57+M57</f>
        <v>5596138</v>
      </c>
      <c r="E57" s="18">
        <f t="shared" ref="E57:E64" si="19">F57+G57+H57+I57+J57+K57+L57</f>
        <v>2833896</v>
      </c>
      <c r="F57" s="18">
        <f>'[1]6'!F10+1450+1435800</f>
        <v>1924990</v>
      </c>
      <c r="G57" s="17">
        <f>'[1]6'!G10+469000</f>
        <v>629206</v>
      </c>
      <c r="H57" s="18">
        <v>133900</v>
      </c>
      <c r="I57" s="17">
        <f>117600+28200</f>
        <v>145800</v>
      </c>
      <c r="J57" s="18">
        <v>0</v>
      </c>
      <c r="K57" s="17">
        <v>0</v>
      </c>
      <c r="L57" s="18">
        <v>0</v>
      </c>
      <c r="M57" s="18">
        <f t="shared" si="12"/>
        <v>2762242</v>
      </c>
      <c r="N57" s="18">
        <v>2762242</v>
      </c>
      <c r="O57" s="17">
        <v>0</v>
      </c>
      <c r="P57" s="16"/>
    </row>
    <row r="58" spans="1:16" s="15" customFormat="1" x14ac:dyDescent="0.2">
      <c r="A58" s="76"/>
      <c r="B58" s="21" t="s">
        <v>67</v>
      </c>
      <c r="C58" s="20" t="s">
        <v>66</v>
      </c>
      <c r="D58" s="19">
        <f t="shared" si="18"/>
        <v>6737322</v>
      </c>
      <c r="E58" s="18">
        <f t="shared" si="19"/>
        <v>6037322</v>
      </c>
      <c r="F58" s="18">
        <f>217400+4606000</f>
        <v>4823400</v>
      </c>
      <c r="G58" s="17">
        <f>9200+1176000</f>
        <v>1185200</v>
      </c>
      <c r="H58" s="18">
        <v>0</v>
      </c>
      <c r="I58" s="17">
        <v>28722</v>
      </c>
      <c r="J58" s="18">
        <v>0</v>
      </c>
      <c r="K58" s="17">
        <v>0</v>
      </c>
      <c r="L58" s="18">
        <v>0</v>
      </c>
      <c r="M58" s="18">
        <f t="shared" si="12"/>
        <v>700000</v>
      </c>
      <c r="N58" s="18">
        <v>700000</v>
      </c>
      <c r="O58" s="17">
        <v>0</v>
      </c>
      <c r="P58" s="16"/>
    </row>
    <row r="59" spans="1:16" s="15" customFormat="1" x14ac:dyDescent="0.2">
      <c r="A59" s="76"/>
      <c r="B59" s="21" t="s">
        <v>65</v>
      </c>
      <c r="C59" s="20" t="s">
        <v>64</v>
      </c>
      <c r="D59" s="19">
        <f t="shared" si="18"/>
        <v>3403308</v>
      </c>
      <c r="E59" s="18">
        <f t="shared" si="19"/>
        <v>3403308</v>
      </c>
      <c r="F59" s="18">
        <f>77759+473000</f>
        <v>550759</v>
      </c>
      <c r="G59" s="17">
        <v>0</v>
      </c>
      <c r="H59" s="18">
        <v>131236</v>
      </c>
      <c r="I59" s="17">
        <f>237313+2484000</f>
        <v>2721313</v>
      </c>
      <c r="J59" s="18">
        <v>0</v>
      </c>
      <c r="K59" s="17">
        <v>0</v>
      </c>
      <c r="L59" s="18">
        <v>0</v>
      </c>
      <c r="M59" s="18">
        <f t="shared" si="12"/>
        <v>0</v>
      </c>
      <c r="N59" s="18">
        <v>0</v>
      </c>
      <c r="O59" s="17">
        <v>0</v>
      </c>
      <c r="P59" s="16"/>
    </row>
    <row r="60" spans="1:16" s="15" customFormat="1" ht="38.25" x14ac:dyDescent="0.2">
      <c r="A60" s="76"/>
      <c r="B60" s="21" t="s">
        <v>63</v>
      </c>
      <c r="C60" s="20" t="s">
        <v>62</v>
      </c>
      <c r="D60" s="19">
        <f t="shared" si="18"/>
        <v>12000</v>
      </c>
      <c r="E60" s="18">
        <f t="shared" si="19"/>
        <v>12000</v>
      </c>
      <c r="F60" s="18">
        <v>12000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f t="shared" si="12"/>
        <v>0</v>
      </c>
      <c r="N60" s="18">
        <v>0</v>
      </c>
      <c r="O60" s="17">
        <v>0</v>
      </c>
      <c r="P60" s="16"/>
    </row>
    <row r="61" spans="1:16" s="15" customFormat="1" ht="25.5" x14ac:dyDescent="0.2">
      <c r="A61" s="76"/>
      <c r="B61" s="21" t="s">
        <v>61</v>
      </c>
      <c r="C61" s="20" t="s">
        <v>60</v>
      </c>
      <c r="D61" s="19">
        <f t="shared" si="18"/>
        <v>577150</v>
      </c>
      <c r="E61" s="18">
        <f t="shared" si="19"/>
        <v>577150</v>
      </c>
      <c r="F61" s="18">
        <f>22900+460300</f>
        <v>483200</v>
      </c>
      <c r="G61" s="17">
        <v>93100</v>
      </c>
      <c r="H61" s="18">
        <v>0</v>
      </c>
      <c r="I61" s="17">
        <v>850</v>
      </c>
      <c r="J61" s="18">
        <v>0</v>
      </c>
      <c r="K61" s="18">
        <v>0</v>
      </c>
      <c r="L61" s="18">
        <v>0</v>
      </c>
      <c r="M61" s="18">
        <f t="shared" si="12"/>
        <v>0</v>
      </c>
      <c r="N61" s="18">
        <v>0</v>
      </c>
      <c r="O61" s="17">
        <v>0</v>
      </c>
      <c r="P61" s="16"/>
    </row>
    <row r="62" spans="1:16" s="15" customFormat="1" ht="63.75" x14ac:dyDescent="0.2">
      <c r="A62" s="76"/>
      <c r="B62" s="21" t="s">
        <v>59</v>
      </c>
      <c r="C62" s="20" t="s">
        <v>58</v>
      </c>
      <c r="D62" s="19">
        <f t="shared" si="18"/>
        <v>72600</v>
      </c>
      <c r="E62" s="18">
        <f t="shared" si="19"/>
        <v>72600</v>
      </c>
      <c r="F62" s="18">
        <f>1500+38600</f>
        <v>40100</v>
      </c>
      <c r="G62" s="17">
        <v>32500</v>
      </c>
      <c r="H62" s="18">
        <v>0</v>
      </c>
      <c r="I62" s="17">
        <v>0</v>
      </c>
      <c r="J62" s="17">
        <f>'[2]wydatki własne'!$L$294</f>
        <v>0</v>
      </c>
      <c r="K62" s="17">
        <f>'[2]wydatki własne'!$L$294</f>
        <v>0</v>
      </c>
      <c r="L62" s="17">
        <f>'[2]wydatki własne'!$L$294</f>
        <v>0</v>
      </c>
      <c r="M62" s="18">
        <f t="shared" si="12"/>
        <v>0</v>
      </c>
      <c r="N62" s="18">
        <v>0</v>
      </c>
      <c r="O62" s="17">
        <v>0</v>
      </c>
      <c r="P62" s="16"/>
    </row>
    <row r="63" spans="1:16" s="15" customFormat="1" ht="25.5" x14ac:dyDescent="0.2">
      <c r="A63" s="76"/>
      <c r="B63" s="21" t="s">
        <v>57</v>
      </c>
      <c r="C63" s="20" t="s">
        <v>25</v>
      </c>
      <c r="D63" s="19">
        <f t="shared" si="18"/>
        <v>0</v>
      </c>
      <c r="E63" s="18">
        <f t="shared" si="19"/>
        <v>0</v>
      </c>
      <c r="F63" s="18">
        <v>0</v>
      </c>
      <c r="G63" s="17">
        <v>0</v>
      </c>
      <c r="H63" s="18">
        <v>0</v>
      </c>
      <c r="I63" s="17">
        <v>0</v>
      </c>
      <c r="J63" s="17">
        <v>0</v>
      </c>
      <c r="K63" s="17">
        <v>0</v>
      </c>
      <c r="L63" s="17">
        <v>0</v>
      </c>
      <c r="M63" s="18">
        <f t="shared" si="12"/>
        <v>0</v>
      </c>
      <c r="N63" s="18">
        <v>0</v>
      </c>
      <c r="O63" s="17">
        <v>0</v>
      </c>
      <c r="P63" s="16"/>
    </row>
    <row r="64" spans="1:16" s="15" customFormat="1" x14ac:dyDescent="0.2">
      <c r="A64" s="77"/>
      <c r="B64" s="21" t="s">
        <v>56</v>
      </c>
      <c r="C64" s="20" t="s">
        <v>2</v>
      </c>
      <c r="D64" s="19">
        <f t="shared" si="18"/>
        <v>200</v>
      </c>
      <c r="E64" s="18">
        <f t="shared" si="19"/>
        <v>200</v>
      </c>
      <c r="F64" s="18">
        <v>0</v>
      </c>
      <c r="G64" s="17">
        <v>200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f t="shared" si="12"/>
        <v>0</v>
      </c>
      <c r="N64" s="18">
        <v>0</v>
      </c>
      <c r="O64" s="17">
        <v>0</v>
      </c>
      <c r="P64" s="16"/>
    </row>
    <row r="65" spans="1:16" s="15" customFormat="1" ht="38.25" x14ac:dyDescent="0.2">
      <c r="A65" s="26" t="s">
        <v>55</v>
      </c>
      <c r="B65" s="25"/>
      <c r="C65" s="24" t="s">
        <v>54</v>
      </c>
      <c r="D65" s="23">
        <f t="shared" ref="D65:L65" si="20">SUM(D66:D70)</f>
        <v>3622361</v>
      </c>
      <c r="E65" s="23">
        <f t="shared" si="20"/>
        <v>3622361</v>
      </c>
      <c r="F65" s="23">
        <f t="shared" si="20"/>
        <v>1631977</v>
      </c>
      <c r="G65" s="23">
        <f t="shared" si="20"/>
        <v>226400</v>
      </c>
      <c r="H65" s="23">
        <f t="shared" si="20"/>
        <v>40200</v>
      </c>
      <c r="I65" s="23">
        <f t="shared" si="20"/>
        <v>7000</v>
      </c>
      <c r="J65" s="23">
        <f t="shared" si="20"/>
        <v>1716784</v>
      </c>
      <c r="K65" s="23">
        <f t="shared" si="20"/>
        <v>0</v>
      </c>
      <c r="L65" s="23">
        <f t="shared" si="20"/>
        <v>0</v>
      </c>
      <c r="M65" s="23">
        <f t="shared" si="12"/>
        <v>0</v>
      </c>
      <c r="N65" s="23">
        <f>SUM(N66:N70)</f>
        <v>0</v>
      </c>
      <c r="O65" s="27">
        <f>SUM(O66:O70)</f>
        <v>0</v>
      </c>
      <c r="P65" s="16"/>
    </row>
    <row r="66" spans="1:16" s="15" customFormat="1" ht="38.25" x14ac:dyDescent="0.2">
      <c r="A66" s="47"/>
      <c r="B66" s="21" t="s">
        <v>53</v>
      </c>
      <c r="C66" s="20" t="s">
        <v>52</v>
      </c>
      <c r="D66" s="19">
        <f>E66+M66</f>
        <v>40200</v>
      </c>
      <c r="E66" s="18">
        <f>F66+G66+H66+I66+J66+K66+L66</f>
        <v>40200</v>
      </c>
      <c r="F66" s="18">
        <v>0</v>
      </c>
      <c r="G66" s="17">
        <v>0</v>
      </c>
      <c r="H66" s="18">
        <f>1608+38592</f>
        <v>40200</v>
      </c>
      <c r="I66" s="17">
        <v>0</v>
      </c>
      <c r="J66" s="17">
        <v>0</v>
      </c>
      <c r="K66" s="17">
        <v>0</v>
      </c>
      <c r="L66" s="17">
        <v>0</v>
      </c>
      <c r="M66" s="18">
        <v>0</v>
      </c>
      <c r="N66" s="18">
        <v>0</v>
      </c>
      <c r="O66" s="18">
        <v>0</v>
      </c>
      <c r="P66" s="16"/>
    </row>
    <row r="67" spans="1:16" s="15" customFormat="1" ht="25.5" x14ac:dyDescent="0.2">
      <c r="A67" s="46"/>
      <c r="B67" s="45" t="s">
        <v>51</v>
      </c>
      <c r="C67" s="20" t="s">
        <v>50</v>
      </c>
      <c r="D67" s="19">
        <f>E67+M67</f>
        <v>107000</v>
      </c>
      <c r="E67" s="18">
        <f>F67+G67+H67+I67+J67+K67+L67</f>
        <v>107000</v>
      </c>
      <c r="F67" s="18">
        <v>91833</v>
      </c>
      <c r="G67" s="17">
        <v>15167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6"/>
    </row>
    <row r="68" spans="1:16" s="15" customFormat="1" ht="38.25" x14ac:dyDescent="0.2">
      <c r="A68" s="43"/>
      <c r="B68" s="44" t="s">
        <v>49</v>
      </c>
      <c r="C68" s="20" t="s">
        <v>48</v>
      </c>
      <c r="D68" s="19">
        <f>E68+M68</f>
        <v>18377</v>
      </c>
      <c r="E68" s="18">
        <f>F68+G68+H68+I68+J68+K68+L68</f>
        <v>18377</v>
      </c>
      <c r="F68" s="18">
        <v>17144</v>
      </c>
      <c r="G68" s="17">
        <v>1233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6"/>
    </row>
    <row r="69" spans="1:16" s="15" customFormat="1" x14ac:dyDescent="0.2">
      <c r="A69" s="43"/>
      <c r="B69" s="21" t="s">
        <v>47</v>
      </c>
      <c r="C69" s="20" t="s">
        <v>46</v>
      </c>
      <c r="D69" s="19">
        <f>E69+M69</f>
        <v>1740000</v>
      </c>
      <c r="E69" s="18">
        <f>F69+G69+H69+I69+J69+K69+L69</f>
        <v>1740000</v>
      </c>
      <c r="F69" s="18">
        <f>1406000+117000</f>
        <v>1523000</v>
      </c>
      <c r="G69" s="17">
        <v>210000</v>
      </c>
      <c r="H69" s="18">
        <v>0</v>
      </c>
      <c r="I69" s="17">
        <v>7000</v>
      </c>
      <c r="J69" s="18">
        <v>0</v>
      </c>
      <c r="K69" s="18">
        <v>0</v>
      </c>
      <c r="L69" s="18">
        <v>0</v>
      </c>
      <c r="M69" s="18">
        <f t="shared" ref="M69:M81" si="21">N69</f>
        <v>0</v>
      </c>
      <c r="N69" s="18"/>
      <c r="O69" s="17">
        <v>0</v>
      </c>
      <c r="P69" s="16"/>
    </row>
    <row r="70" spans="1:16" s="15" customFormat="1" x14ac:dyDescent="0.2">
      <c r="A70" s="42"/>
      <c r="B70" s="21" t="s">
        <v>45</v>
      </c>
      <c r="C70" s="20" t="s">
        <v>2</v>
      </c>
      <c r="D70" s="19">
        <f>E70+M70</f>
        <v>1716784</v>
      </c>
      <c r="E70" s="18">
        <f>F70+G70+H70+I70+J70+K70+L70</f>
        <v>1716784</v>
      </c>
      <c r="F70" s="18">
        <v>0</v>
      </c>
      <c r="G70" s="18">
        <v>0</v>
      </c>
      <c r="H70" s="18">
        <v>0</v>
      </c>
      <c r="I70" s="18">
        <v>0</v>
      </c>
      <c r="J70" s="18">
        <f>935241+87438+694105</f>
        <v>1716784</v>
      </c>
      <c r="K70" s="18">
        <v>0</v>
      </c>
      <c r="L70" s="18">
        <v>0</v>
      </c>
      <c r="M70" s="18">
        <f t="shared" si="21"/>
        <v>0</v>
      </c>
      <c r="N70" s="18">
        <v>0</v>
      </c>
      <c r="O70" s="17">
        <v>0</v>
      </c>
      <c r="P70" s="16"/>
    </row>
    <row r="71" spans="1:16" s="15" customFormat="1" ht="25.5" x14ac:dyDescent="0.2">
      <c r="A71" s="41" t="s">
        <v>44</v>
      </c>
      <c r="B71" s="40"/>
      <c r="C71" s="39" t="s">
        <v>43</v>
      </c>
      <c r="D71" s="38">
        <f t="shared" ref="D71:L71" si="22">SUM(D72:D81)</f>
        <v>4531682</v>
      </c>
      <c r="E71" s="38">
        <f t="shared" si="22"/>
        <v>4531682</v>
      </c>
      <c r="F71" s="38">
        <f t="shared" si="22"/>
        <v>2528946</v>
      </c>
      <c r="G71" s="38">
        <f t="shared" si="22"/>
        <v>593050</v>
      </c>
      <c r="H71" s="38">
        <f t="shared" si="22"/>
        <v>1392000</v>
      </c>
      <c r="I71" s="38">
        <f t="shared" si="22"/>
        <v>17686</v>
      </c>
      <c r="J71" s="38">
        <f t="shared" si="22"/>
        <v>0</v>
      </c>
      <c r="K71" s="38">
        <f t="shared" si="22"/>
        <v>0</v>
      </c>
      <c r="L71" s="38">
        <f t="shared" si="22"/>
        <v>0</v>
      </c>
      <c r="M71" s="38">
        <f t="shared" si="21"/>
        <v>0</v>
      </c>
      <c r="N71" s="38">
        <f>SUM(N72:N81)</f>
        <v>0</v>
      </c>
      <c r="O71" s="37">
        <f>SUM(O72:O81)</f>
        <v>0</v>
      </c>
      <c r="P71" s="16"/>
    </row>
    <row r="72" spans="1:16" s="15" customFormat="1" x14ac:dyDescent="0.2">
      <c r="A72" s="36"/>
      <c r="B72" s="32" t="s">
        <v>42</v>
      </c>
      <c r="C72" s="31" t="s">
        <v>41</v>
      </c>
      <c r="D72" s="18">
        <f t="shared" ref="D72:D81" si="23">E72+M72</f>
        <v>49719</v>
      </c>
      <c r="E72" s="18">
        <f t="shared" ref="E72:E81" si="24">F72+G72+H72+I72+J72+K72+L72</f>
        <v>49719</v>
      </c>
      <c r="F72" s="18">
        <f>176+46300</f>
        <v>46476</v>
      </c>
      <c r="G72" s="17">
        <v>3150</v>
      </c>
      <c r="H72" s="18">
        <v>0</v>
      </c>
      <c r="I72" s="17">
        <f>93</f>
        <v>93</v>
      </c>
      <c r="J72" s="18">
        <v>0</v>
      </c>
      <c r="K72" s="17">
        <v>0</v>
      </c>
      <c r="L72" s="18">
        <v>0</v>
      </c>
      <c r="M72" s="18">
        <f t="shared" si="21"/>
        <v>0</v>
      </c>
      <c r="N72" s="18">
        <v>0</v>
      </c>
      <c r="O72" s="17">
        <v>0</v>
      </c>
      <c r="P72" s="16"/>
    </row>
    <row r="73" spans="1:16" s="15" customFormat="1" ht="25.5" x14ac:dyDescent="0.2">
      <c r="A73" s="35"/>
      <c r="B73" s="32" t="s">
        <v>40</v>
      </c>
      <c r="C73" s="31" t="s">
        <v>39</v>
      </c>
      <c r="D73" s="18">
        <f t="shared" si="23"/>
        <v>1048120</v>
      </c>
      <c r="E73" s="18">
        <f t="shared" si="24"/>
        <v>1048120</v>
      </c>
      <c r="F73" s="18">
        <f>20400+1120+806000</f>
        <v>827520</v>
      </c>
      <c r="G73" s="17">
        <v>215000</v>
      </c>
      <c r="H73" s="18">
        <v>0</v>
      </c>
      <c r="I73" s="17">
        <v>5600</v>
      </c>
      <c r="J73" s="18">
        <v>0</v>
      </c>
      <c r="K73" s="17">
        <v>0</v>
      </c>
      <c r="L73" s="18">
        <v>0</v>
      </c>
      <c r="M73" s="18">
        <f t="shared" si="21"/>
        <v>0</v>
      </c>
      <c r="N73" s="18">
        <v>0</v>
      </c>
      <c r="O73" s="17">
        <v>0</v>
      </c>
      <c r="P73" s="16"/>
    </row>
    <row r="74" spans="1:16" s="15" customFormat="1" ht="38.25" x14ac:dyDescent="0.2">
      <c r="A74" s="35"/>
      <c r="B74" s="32" t="s">
        <v>38</v>
      </c>
      <c r="C74" s="34" t="s">
        <v>37</v>
      </c>
      <c r="D74" s="18">
        <f t="shared" si="23"/>
        <v>1514320</v>
      </c>
      <c r="E74" s="18">
        <f t="shared" si="24"/>
        <v>1514320</v>
      </c>
      <c r="F74" s="18">
        <f>66400+18750+508800+766900</f>
        <v>1360850</v>
      </c>
      <c r="G74" s="17">
        <f>68600+83300</f>
        <v>151900</v>
      </c>
      <c r="H74" s="18">
        <v>0</v>
      </c>
      <c r="I74" s="17">
        <f>570+1000</f>
        <v>1570</v>
      </c>
      <c r="J74" s="18">
        <v>0</v>
      </c>
      <c r="K74" s="17">
        <v>0</v>
      </c>
      <c r="L74" s="18">
        <v>0</v>
      </c>
      <c r="M74" s="18">
        <f t="shared" si="21"/>
        <v>0</v>
      </c>
      <c r="N74" s="18"/>
      <c r="O74" s="17">
        <v>0</v>
      </c>
      <c r="P74" s="16"/>
    </row>
    <row r="75" spans="1:16" s="15" customFormat="1" x14ac:dyDescent="0.2">
      <c r="A75" s="35"/>
      <c r="B75" s="32" t="s">
        <v>36</v>
      </c>
      <c r="C75" s="31" t="s">
        <v>35</v>
      </c>
      <c r="D75" s="18">
        <f t="shared" si="23"/>
        <v>467023</v>
      </c>
      <c r="E75" s="18">
        <f t="shared" si="24"/>
        <v>467023</v>
      </c>
      <c r="F75" s="18">
        <f>16500+10600+267000</f>
        <v>294100</v>
      </c>
      <c r="G75" s="17">
        <v>172500</v>
      </c>
      <c r="H75" s="18">
        <v>0</v>
      </c>
      <c r="I75" s="17">
        <v>423</v>
      </c>
      <c r="J75" s="18">
        <v>0</v>
      </c>
      <c r="K75" s="17">
        <v>0</v>
      </c>
      <c r="L75" s="18">
        <v>0</v>
      </c>
      <c r="M75" s="18">
        <f t="shared" si="21"/>
        <v>0</v>
      </c>
      <c r="N75" s="18">
        <v>0</v>
      </c>
      <c r="O75" s="17">
        <v>0</v>
      </c>
      <c r="P75" s="16"/>
    </row>
    <row r="76" spans="1:16" s="15" customFormat="1" ht="51" x14ac:dyDescent="0.2">
      <c r="A76" s="83"/>
      <c r="B76" s="32" t="s">
        <v>34</v>
      </c>
      <c r="C76" s="34" t="s">
        <v>33</v>
      </c>
      <c r="D76" s="18">
        <f t="shared" si="23"/>
        <v>17500</v>
      </c>
      <c r="E76" s="18">
        <f t="shared" si="24"/>
        <v>17500</v>
      </c>
      <c r="F76" s="18">
        <v>0</v>
      </c>
      <c r="G76" s="17">
        <v>17500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f t="shared" si="21"/>
        <v>0</v>
      </c>
      <c r="N76" s="18">
        <v>0</v>
      </c>
      <c r="O76" s="17">
        <v>0</v>
      </c>
      <c r="P76" s="16"/>
    </row>
    <row r="77" spans="1:16" s="15" customFormat="1" ht="25.5" x14ac:dyDescent="0.2">
      <c r="A77" s="83"/>
      <c r="B77" s="32" t="s">
        <v>32</v>
      </c>
      <c r="C77" s="31" t="s">
        <v>31</v>
      </c>
      <c r="D77" s="18">
        <f t="shared" si="23"/>
        <v>10000</v>
      </c>
      <c r="E77" s="18">
        <f t="shared" si="24"/>
        <v>10000</v>
      </c>
      <c r="F77" s="18">
        <v>0</v>
      </c>
      <c r="G77" s="17">
        <v>0</v>
      </c>
      <c r="H77" s="18">
        <v>0</v>
      </c>
      <c r="I77" s="17">
        <v>10000</v>
      </c>
      <c r="J77" s="18">
        <v>0</v>
      </c>
      <c r="K77" s="17">
        <v>0</v>
      </c>
      <c r="L77" s="18">
        <v>0</v>
      </c>
      <c r="M77" s="18">
        <f t="shared" si="21"/>
        <v>0</v>
      </c>
      <c r="N77" s="18">
        <v>0</v>
      </c>
      <c r="O77" s="17">
        <v>0</v>
      </c>
      <c r="P77" s="16"/>
    </row>
    <row r="78" spans="1:16" s="15" customFormat="1" ht="38.25" x14ac:dyDescent="0.2">
      <c r="A78" s="83"/>
      <c r="B78" s="32" t="s">
        <v>30</v>
      </c>
      <c r="C78" s="34" t="s">
        <v>29</v>
      </c>
      <c r="D78" s="18">
        <f t="shared" si="23"/>
        <v>20000</v>
      </c>
      <c r="E78" s="18">
        <f t="shared" si="24"/>
        <v>20000</v>
      </c>
      <c r="F78" s="18">
        <v>0</v>
      </c>
      <c r="G78" s="17">
        <v>0</v>
      </c>
      <c r="H78" s="18">
        <v>20000</v>
      </c>
      <c r="I78" s="17">
        <v>0</v>
      </c>
      <c r="J78" s="18">
        <v>0</v>
      </c>
      <c r="K78" s="17">
        <v>0</v>
      </c>
      <c r="L78" s="18">
        <v>0</v>
      </c>
      <c r="M78" s="18">
        <f t="shared" si="21"/>
        <v>0</v>
      </c>
      <c r="N78" s="18">
        <v>0</v>
      </c>
      <c r="O78" s="17">
        <v>0</v>
      </c>
      <c r="P78" s="16"/>
    </row>
    <row r="79" spans="1:16" s="15" customFormat="1" ht="25.5" x14ac:dyDescent="0.2">
      <c r="A79" s="83"/>
      <c r="B79" s="32" t="s">
        <v>28</v>
      </c>
      <c r="C79" s="31" t="s">
        <v>27</v>
      </c>
      <c r="D79" s="18">
        <f t="shared" si="23"/>
        <v>1372000</v>
      </c>
      <c r="E79" s="18">
        <f t="shared" si="24"/>
        <v>1372000</v>
      </c>
      <c r="F79" s="18">
        <v>0</v>
      </c>
      <c r="G79" s="17">
        <v>0</v>
      </c>
      <c r="H79" s="18">
        <v>1372000</v>
      </c>
      <c r="I79" s="17">
        <v>0</v>
      </c>
      <c r="J79" s="18">
        <v>0</v>
      </c>
      <c r="K79" s="17">
        <v>0</v>
      </c>
      <c r="L79" s="18">
        <v>0</v>
      </c>
      <c r="M79" s="18">
        <f t="shared" si="21"/>
        <v>0</v>
      </c>
      <c r="N79" s="18">
        <v>0</v>
      </c>
      <c r="O79" s="17">
        <v>0</v>
      </c>
      <c r="P79" s="16"/>
    </row>
    <row r="80" spans="1:16" s="15" customFormat="1" ht="25.5" x14ac:dyDescent="0.2">
      <c r="A80" s="83"/>
      <c r="B80" s="32" t="s">
        <v>26</v>
      </c>
      <c r="C80" s="31" t="s">
        <v>25</v>
      </c>
      <c r="D80" s="18">
        <f t="shared" si="23"/>
        <v>17000</v>
      </c>
      <c r="E80" s="18">
        <f t="shared" si="24"/>
        <v>17000</v>
      </c>
      <c r="F80" s="18">
        <v>0</v>
      </c>
      <c r="G80" s="17">
        <v>17000</v>
      </c>
      <c r="H80" s="18">
        <v>0</v>
      </c>
      <c r="I80" s="17">
        <v>0</v>
      </c>
      <c r="J80" s="18">
        <v>0</v>
      </c>
      <c r="K80" s="17">
        <v>0</v>
      </c>
      <c r="L80" s="18">
        <v>0</v>
      </c>
      <c r="M80" s="18">
        <f t="shared" si="21"/>
        <v>0</v>
      </c>
      <c r="N80" s="18">
        <v>0</v>
      </c>
      <c r="O80" s="17">
        <v>0</v>
      </c>
      <c r="P80" s="16"/>
    </row>
    <row r="81" spans="1:16" s="15" customFormat="1" x14ac:dyDescent="0.2">
      <c r="A81" s="33"/>
      <c r="B81" s="32" t="s">
        <v>24</v>
      </c>
      <c r="C81" s="31" t="s">
        <v>2</v>
      </c>
      <c r="D81" s="18">
        <f t="shared" si="23"/>
        <v>16000</v>
      </c>
      <c r="E81" s="18">
        <f t="shared" si="24"/>
        <v>16000</v>
      </c>
      <c r="F81" s="18">
        <v>0</v>
      </c>
      <c r="G81" s="17">
        <v>16000</v>
      </c>
      <c r="H81" s="18">
        <v>0</v>
      </c>
      <c r="I81" s="17">
        <v>0</v>
      </c>
      <c r="J81" s="18">
        <v>0</v>
      </c>
      <c r="K81" s="17">
        <v>0</v>
      </c>
      <c r="L81" s="18">
        <v>0</v>
      </c>
      <c r="M81" s="18">
        <f t="shared" si="21"/>
        <v>0</v>
      </c>
      <c r="N81" s="18">
        <v>0</v>
      </c>
      <c r="O81" s="17">
        <v>0</v>
      </c>
      <c r="P81" s="16"/>
    </row>
    <row r="82" spans="1:16" s="15" customFormat="1" ht="38.25" x14ac:dyDescent="0.2">
      <c r="A82" s="26" t="s">
        <v>23</v>
      </c>
      <c r="B82" s="30"/>
      <c r="C82" s="29" t="s">
        <v>22</v>
      </c>
      <c r="D82" s="28">
        <f t="shared" ref="D82:O82" si="25">D85+D83+D84</f>
        <v>84000</v>
      </c>
      <c r="E82" s="28">
        <f t="shared" si="25"/>
        <v>84000</v>
      </c>
      <c r="F82" s="28">
        <f t="shared" si="25"/>
        <v>1500</v>
      </c>
      <c r="G82" s="28">
        <f t="shared" si="25"/>
        <v>64500</v>
      </c>
      <c r="H82" s="28">
        <f t="shared" si="25"/>
        <v>18000</v>
      </c>
      <c r="I82" s="28">
        <f t="shared" si="25"/>
        <v>0</v>
      </c>
      <c r="J82" s="28">
        <f t="shared" si="25"/>
        <v>0</v>
      </c>
      <c r="K82" s="28">
        <f t="shared" si="25"/>
        <v>0</v>
      </c>
      <c r="L82" s="28">
        <f t="shared" si="25"/>
        <v>0</v>
      </c>
      <c r="M82" s="28">
        <f t="shared" si="25"/>
        <v>0</v>
      </c>
      <c r="N82" s="28">
        <f t="shared" si="25"/>
        <v>0</v>
      </c>
      <c r="O82" s="28">
        <f t="shared" si="25"/>
        <v>0</v>
      </c>
      <c r="P82" s="16"/>
    </row>
    <row r="83" spans="1:16" s="15" customFormat="1" ht="25.5" x14ac:dyDescent="0.2">
      <c r="A83" s="84"/>
      <c r="B83" s="21" t="s">
        <v>21</v>
      </c>
      <c r="C83" s="20" t="s">
        <v>20</v>
      </c>
      <c r="D83" s="19">
        <f>E83+M83</f>
        <v>4000</v>
      </c>
      <c r="E83" s="18">
        <f>F83+G83+H83+I83+J83+K83+L83</f>
        <v>4000</v>
      </c>
      <c r="F83" s="18">
        <v>0</v>
      </c>
      <c r="G83" s="17">
        <v>0</v>
      </c>
      <c r="H83" s="18">
        <v>4000</v>
      </c>
      <c r="I83" s="17">
        <v>0</v>
      </c>
      <c r="J83" s="18">
        <v>0</v>
      </c>
      <c r="K83" s="17">
        <v>0</v>
      </c>
      <c r="L83" s="18">
        <v>0</v>
      </c>
      <c r="M83" s="18">
        <v>0</v>
      </c>
      <c r="N83" s="18"/>
      <c r="O83" s="17"/>
      <c r="P83" s="16"/>
    </row>
    <row r="84" spans="1:16" s="15" customFormat="1" x14ac:dyDescent="0.2">
      <c r="A84" s="85"/>
      <c r="B84" s="21" t="s">
        <v>19</v>
      </c>
      <c r="C84" s="20" t="s">
        <v>18</v>
      </c>
      <c r="D84" s="19">
        <f>E84+M84</f>
        <v>4500</v>
      </c>
      <c r="E84" s="18">
        <f>F84+G84+H84+I84+J84+K84+L84</f>
        <v>4500</v>
      </c>
      <c r="F84" s="18">
        <v>0</v>
      </c>
      <c r="G84" s="18">
        <v>4500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/>
      <c r="O84" s="17"/>
      <c r="P84" s="16"/>
    </row>
    <row r="85" spans="1:16" s="15" customFormat="1" x14ac:dyDescent="0.2">
      <c r="A85" s="86"/>
      <c r="B85" s="21" t="s">
        <v>17</v>
      </c>
      <c r="C85" s="20" t="s">
        <v>2</v>
      </c>
      <c r="D85" s="19">
        <f>E85+M85</f>
        <v>75500</v>
      </c>
      <c r="E85" s="18">
        <f>F85+G85+H85+I85+J85+K85+L85</f>
        <v>75500</v>
      </c>
      <c r="F85" s="18">
        <v>1500</v>
      </c>
      <c r="G85" s="18">
        <v>60000</v>
      </c>
      <c r="H85" s="18">
        <v>14000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7">
        <v>0</v>
      </c>
      <c r="P85" s="16"/>
    </row>
    <row r="86" spans="1:16" s="15" customFormat="1" ht="38.25" x14ac:dyDescent="0.2">
      <c r="A86" s="26" t="s">
        <v>16</v>
      </c>
      <c r="B86" s="25"/>
      <c r="C86" s="24" t="s">
        <v>15</v>
      </c>
      <c r="D86" s="23">
        <f t="shared" ref="D86:L86" si="26">SUM(D87:D89)</f>
        <v>55000</v>
      </c>
      <c r="E86" s="23">
        <f t="shared" si="26"/>
        <v>55000</v>
      </c>
      <c r="F86" s="23">
        <f t="shared" si="26"/>
        <v>0</v>
      </c>
      <c r="G86" s="23">
        <f t="shared" si="26"/>
        <v>10000</v>
      </c>
      <c r="H86" s="23">
        <f t="shared" si="26"/>
        <v>45000</v>
      </c>
      <c r="I86" s="23">
        <f t="shared" si="26"/>
        <v>0</v>
      </c>
      <c r="J86" s="23">
        <f t="shared" si="26"/>
        <v>0</v>
      </c>
      <c r="K86" s="23">
        <f t="shared" si="26"/>
        <v>0</v>
      </c>
      <c r="L86" s="23">
        <f t="shared" si="26"/>
        <v>0</v>
      </c>
      <c r="M86" s="23">
        <f>N86</f>
        <v>0</v>
      </c>
      <c r="N86" s="23">
        <f>SUM(N87:N89)</f>
        <v>0</v>
      </c>
      <c r="O86" s="27">
        <f>SUM(O87:O89)</f>
        <v>0</v>
      </c>
      <c r="P86" s="16"/>
    </row>
    <row r="87" spans="1:16" s="15" customFormat="1" x14ac:dyDescent="0.2">
      <c r="A87" s="75"/>
      <c r="B87" s="21" t="s">
        <v>14</v>
      </c>
      <c r="C87" s="20" t="s">
        <v>13</v>
      </c>
      <c r="D87" s="19">
        <f>E87+M87</f>
        <v>45000</v>
      </c>
      <c r="E87" s="18">
        <f>F87+G87+H87+I87+J87+K87+L87</f>
        <v>45000</v>
      </c>
      <c r="F87" s="18">
        <v>0</v>
      </c>
      <c r="G87" s="17">
        <v>0</v>
      </c>
      <c r="H87" s="18">
        <v>45000</v>
      </c>
      <c r="I87" s="17">
        <v>0</v>
      </c>
      <c r="J87" s="18">
        <v>0</v>
      </c>
      <c r="K87" s="17">
        <v>0</v>
      </c>
      <c r="L87" s="18">
        <v>0</v>
      </c>
      <c r="M87" s="18">
        <f>N87</f>
        <v>0</v>
      </c>
      <c r="N87" s="18">
        <v>0</v>
      </c>
      <c r="O87" s="17">
        <v>0</v>
      </c>
      <c r="P87" s="16"/>
    </row>
    <row r="88" spans="1:16" s="15" customFormat="1" ht="25.5" x14ac:dyDescent="0.2">
      <c r="A88" s="76"/>
      <c r="B88" s="21" t="s">
        <v>12</v>
      </c>
      <c r="C88" s="20" t="s">
        <v>11</v>
      </c>
      <c r="D88" s="19">
        <f>E88+M88</f>
        <v>0</v>
      </c>
      <c r="E88" s="18">
        <f>F88+G88+H88+I88+J88+K88+L88</f>
        <v>0</v>
      </c>
      <c r="F88" s="18">
        <v>0</v>
      </c>
      <c r="G88" s="17">
        <v>0</v>
      </c>
      <c r="H88" s="18">
        <v>0</v>
      </c>
      <c r="I88" s="17">
        <v>0</v>
      </c>
      <c r="J88" s="18">
        <v>0</v>
      </c>
      <c r="K88" s="17">
        <v>0</v>
      </c>
      <c r="L88" s="18">
        <v>0</v>
      </c>
      <c r="M88" s="18">
        <f>N88</f>
        <v>0</v>
      </c>
      <c r="N88" s="18"/>
      <c r="O88" s="17">
        <v>0</v>
      </c>
      <c r="P88" s="16"/>
    </row>
    <row r="89" spans="1:16" s="15" customFormat="1" x14ac:dyDescent="0.2">
      <c r="A89" s="77"/>
      <c r="B89" s="21" t="s">
        <v>10</v>
      </c>
      <c r="C89" s="20" t="s">
        <v>2</v>
      </c>
      <c r="D89" s="19">
        <f>E89+M89</f>
        <v>10000</v>
      </c>
      <c r="E89" s="18">
        <f>F89+G89+H89+I89+J89+K89+L89</f>
        <v>10000</v>
      </c>
      <c r="F89" s="18">
        <v>0</v>
      </c>
      <c r="G89" s="17">
        <f>5000+5000</f>
        <v>10000</v>
      </c>
      <c r="H89" s="18">
        <v>0</v>
      </c>
      <c r="I89" s="17">
        <v>0</v>
      </c>
      <c r="J89" s="18">
        <v>0</v>
      </c>
      <c r="K89" s="17">
        <v>0</v>
      </c>
      <c r="L89" s="18">
        <v>0</v>
      </c>
      <c r="M89" s="18">
        <f>N89</f>
        <v>0</v>
      </c>
      <c r="N89" s="18">
        <v>0</v>
      </c>
      <c r="O89" s="17">
        <v>0</v>
      </c>
      <c r="P89" s="16"/>
    </row>
    <row r="90" spans="1:16" s="15" customFormat="1" x14ac:dyDescent="0.2">
      <c r="A90" s="26" t="s">
        <v>9</v>
      </c>
      <c r="B90" s="25"/>
      <c r="C90" s="24" t="s">
        <v>8</v>
      </c>
      <c r="D90" s="23">
        <f t="shared" ref="D90:O90" si="27">D91+D92+D93</f>
        <v>2097338</v>
      </c>
      <c r="E90" s="23">
        <f t="shared" si="27"/>
        <v>1967338</v>
      </c>
      <c r="F90" s="23">
        <f t="shared" si="27"/>
        <v>861156</v>
      </c>
      <c r="G90" s="23">
        <f t="shared" si="27"/>
        <v>1058100</v>
      </c>
      <c r="H90" s="23">
        <f t="shared" si="27"/>
        <v>44860</v>
      </c>
      <c r="I90" s="23">
        <f t="shared" si="27"/>
        <v>3222</v>
      </c>
      <c r="J90" s="23">
        <f t="shared" si="27"/>
        <v>0</v>
      </c>
      <c r="K90" s="23">
        <f t="shared" si="27"/>
        <v>0</v>
      </c>
      <c r="L90" s="23">
        <f t="shared" si="27"/>
        <v>0</v>
      </c>
      <c r="M90" s="23">
        <f t="shared" si="27"/>
        <v>130000</v>
      </c>
      <c r="N90" s="23">
        <f t="shared" si="27"/>
        <v>130000</v>
      </c>
      <c r="O90" s="23">
        <f t="shared" si="27"/>
        <v>0</v>
      </c>
      <c r="P90" s="16"/>
    </row>
    <row r="91" spans="1:16" s="15" customFormat="1" x14ac:dyDescent="0.2">
      <c r="A91" s="82"/>
      <c r="B91" s="21" t="s">
        <v>7</v>
      </c>
      <c r="C91" s="20" t="s">
        <v>6</v>
      </c>
      <c r="D91" s="19">
        <f>E91+M91</f>
        <v>2026122</v>
      </c>
      <c r="E91" s="18">
        <f>F91+G91+H91+I91+J91+K91+L91</f>
        <v>1896122</v>
      </c>
      <c r="F91" s="18">
        <f>35000+825000</f>
        <v>860000</v>
      </c>
      <c r="G91" s="17">
        <v>1032900</v>
      </c>
      <c r="H91" s="18">
        <v>0</v>
      </c>
      <c r="I91" s="17">
        <v>3222</v>
      </c>
      <c r="J91" s="18">
        <v>0</v>
      </c>
      <c r="K91" s="18">
        <v>0</v>
      </c>
      <c r="L91" s="18">
        <v>0</v>
      </c>
      <c r="M91" s="18">
        <f>N91</f>
        <v>130000</v>
      </c>
      <c r="N91" s="18">
        <v>130000</v>
      </c>
      <c r="O91" s="17">
        <v>0</v>
      </c>
      <c r="P91" s="16"/>
    </row>
    <row r="92" spans="1:16" s="15" customFormat="1" ht="25.5" x14ac:dyDescent="0.2">
      <c r="A92" s="82"/>
      <c r="B92" s="21" t="s">
        <v>5</v>
      </c>
      <c r="C92" s="20" t="s">
        <v>4</v>
      </c>
      <c r="D92" s="19">
        <f>E92+M92</f>
        <v>39860</v>
      </c>
      <c r="E92" s="18">
        <f>F92+G92+H92+I92+J92+K92+L92</f>
        <v>39860</v>
      </c>
      <c r="F92" s="18">
        <v>0</v>
      </c>
      <c r="G92" s="22">
        <v>0</v>
      </c>
      <c r="H92" s="18">
        <v>39860</v>
      </c>
      <c r="I92" s="17">
        <v>0</v>
      </c>
      <c r="J92" s="18">
        <v>0</v>
      </c>
      <c r="K92" s="18">
        <v>0</v>
      </c>
      <c r="L92" s="18">
        <v>0</v>
      </c>
      <c r="M92" s="18">
        <v>0</v>
      </c>
      <c r="N92" s="18"/>
      <c r="O92" s="17"/>
      <c r="P92" s="16"/>
    </row>
    <row r="93" spans="1:16" s="15" customFormat="1" x14ac:dyDescent="0.2">
      <c r="A93" s="82"/>
      <c r="B93" s="21" t="s">
        <v>3</v>
      </c>
      <c r="C93" s="20" t="s">
        <v>2</v>
      </c>
      <c r="D93" s="19">
        <f>E93+M93</f>
        <v>31356</v>
      </c>
      <c r="E93" s="18">
        <f>F93+G93+H93+I93+J93+K93+L93</f>
        <v>31356</v>
      </c>
      <c r="F93" s="18">
        <v>1156</v>
      </c>
      <c r="G93" s="17">
        <f>18200+7000</f>
        <v>25200</v>
      </c>
      <c r="H93" s="18">
        <v>5000</v>
      </c>
      <c r="I93" s="17">
        <v>0</v>
      </c>
      <c r="J93" s="17">
        <v>0</v>
      </c>
      <c r="K93" s="17">
        <v>0</v>
      </c>
      <c r="L93" s="17">
        <v>0</v>
      </c>
      <c r="M93" s="18">
        <f>N93</f>
        <v>0</v>
      </c>
      <c r="N93" s="18">
        <v>0</v>
      </c>
      <c r="O93" s="17">
        <v>0</v>
      </c>
      <c r="P93" s="16"/>
    </row>
    <row r="94" spans="1:16" s="11" customFormat="1" ht="24.75" customHeight="1" x14ac:dyDescent="0.2">
      <c r="A94" s="79" t="s">
        <v>1</v>
      </c>
      <c r="B94" s="80"/>
      <c r="C94" s="81"/>
      <c r="D94" s="14">
        <f t="shared" ref="D94:L94" si="28">D9+D12+D15+D17+D20+D26+D33+D37+D40+D42+D52+D56+D65+D71+D82+D86+D90</f>
        <v>85822787</v>
      </c>
      <c r="E94" s="13">
        <f t="shared" si="28"/>
        <v>66866471</v>
      </c>
      <c r="F94" s="13">
        <f t="shared" si="28"/>
        <v>40034710</v>
      </c>
      <c r="G94" s="13">
        <f t="shared" si="28"/>
        <v>16226687</v>
      </c>
      <c r="H94" s="13">
        <f t="shared" si="28"/>
        <v>3807786</v>
      </c>
      <c r="I94" s="13">
        <f t="shared" si="28"/>
        <v>3669136</v>
      </c>
      <c r="J94" s="13">
        <f t="shared" si="28"/>
        <v>1803928</v>
      </c>
      <c r="K94" s="13">
        <f t="shared" si="28"/>
        <v>0</v>
      </c>
      <c r="L94" s="13">
        <f t="shared" si="28"/>
        <v>1324224</v>
      </c>
      <c r="M94" s="13">
        <f>N94</f>
        <v>18956316</v>
      </c>
      <c r="N94" s="13">
        <f>N9+N12+N15+N17+N20+N26+N33+N37+N40+N42+N52+N56+N65+N71+N82+N86+N90</f>
        <v>18956316</v>
      </c>
      <c r="O94" s="13">
        <f>O9+O12+O15+O17+O20+O26+O33+O37+O40+O42+O52+O56+O65+O71+O82+O86+O90</f>
        <v>7871074</v>
      </c>
      <c r="P94" s="12"/>
    </row>
    <row r="95" spans="1:16" x14ac:dyDescent="0.2">
      <c r="B95" s="3"/>
      <c r="C95" s="3"/>
      <c r="D95" s="3"/>
    </row>
    <row r="96" spans="1:16" x14ac:dyDescent="0.2">
      <c r="A96" s="10" t="s">
        <v>0</v>
      </c>
      <c r="B96" s="10"/>
      <c r="C96" s="10"/>
      <c r="D96" s="9"/>
      <c r="H96" s="4"/>
    </row>
    <row r="97" spans="2:15" x14ac:dyDescent="0.2">
      <c r="B97" s="3"/>
      <c r="C97" s="3"/>
      <c r="D97" s="3"/>
      <c r="F97" s="5"/>
      <c r="G97" s="5"/>
      <c r="H97" s="5"/>
      <c r="I97" s="5"/>
      <c r="J97" s="5"/>
      <c r="K97" s="5"/>
      <c r="L97" s="5"/>
    </row>
    <row r="98" spans="2:15" x14ac:dyDescent="0.2">
      <c r="B98" s="3"/>
      <c r="C98" s="3"/>
      <c r="D98" s="3"/>
      <c r="F98" s="4"/>
      <c r="N98" s="4"/>
    </row>
    <row r="99" spans="2:15" x14ac:dyDescent="0.2">
      <c r="B99" s="3"/>
      <c r="C99" s="3"/>
      <c r="D99" s="4"/>
      <c r="E99" s="5"/>
      <c r="K99" s="4"/>
    </row>
    <row r="100" spans="2:15" x14ac:dyDescent="0.2">
      <c r="B100" s="3"/>
      <c r="C100" s="3"/>
      <c r="D100" s="4"/>
      <c r="E100" s="5"/>
      <c r="F100" s="7"/>
      <c r="G100" s="4"/>
      <c r="H100" s="5"/>
      <c r="I100" s="5"/>
      <c r="J100" s="5"/>
      <c r="K100" s="5"/>
      <c r="L100" s="5"/>
      <c r="M100" s="5"/>
      <c r="N100" s="5"/>
      <c r="O100" s="5"/>
    </row>
    <row r="101" spans="2:15" x14ac:dyDescent="0.2">
      <c r="B101" s="3"/>
      <c r="C101" s="3"/>
      <c r="D101" s="4"/>
      <c r="E101" s="7"/>
      <c r="F101" s="8"/>
      <c r="G101" s="7"/>
      <c r="H101" s="4"/>
      <c r="N101" s="4"/>
    </row>
    <row r="102" spans="2:15" x14ac:dyDescent="0.2">
      <c r="B102" s="3"/>
      <c r="C102" s="3"/>
      <c r="D102" s="3"/>
      <c r="E102" s="7"/>
      <c r="F102" s="7"/>
      <c r="G102" s="6"/>
      <c r="H102" s="4"/>
      <c r="L102" s="4"/>
    </row>
    <row r="103" spans="2:15" x14ac:dyDescent="0.2">
      <c r="B103" s="3"/>
      <c r="C103" s="3"/>
      <c r="D103" s="3"/>
      <c r="E103" s="4"/>
      <c r="F103" s="4"/>
    </row>
    <row r="104" spans="2:15" x14ac:dyDescent="0.2">
      <c r="B104" s="3"/>
      <c r="C104" s="3"/>
      <c r="D104" s="3"/>
      <c r="E104" s="4"/>
      <c r="F104" s="5"/>
      <c r="G104" s="5"/>
    </row>
    <row r="105" spans="2:15" x14ac:dyDescent="0.2">
      <c r="F105" s="5"/>
      <c r="L105" s="4"/>
    </row>
    <row r="106" spans="2:15" x14ac:dyDescent="0.2">
      <c r="F106" s="4"/>
    </row>
    <row r="107" spans="2:15" x14ac:dyDescent="0.2">
      <c r="F107" s="4"/>
      <c r="G107" s="4"/>
    </row>
    <row r="111" spans="2:15" x14ac:dyDescent="0.2">
      <c r="J111" s="4"/>
    </row>
  </sheetData>
  <mergeCells count="31">
    <mergeCell ref="N5:O5"/>
    <mergeCell ref="K6:K7"/>
    <mergeCell ref="J6:J7"/>
    <mergeCell ref="N6:N7"/>
    <mergeCell ref="F5:L5"/>
    <mergeCell ref="L6:L7"/>
    <mergeCell ref="M5:M7"/>
    <mergeCell ref="H6:H7"/>
    <mergeCell ref="I6:I7"/>
    <mergeCell ref="L1:M1"/>
    <mergeCell ref="A2:H2"/>
    <mergeCell ref="A4:A7"/>
    <mergeCell ref="B4:B7"/>
    <mergeCell ref="C4:C7"/>
    <mergeCell ref="E5:E7"/>
    <mergeCell ref="A87:A89"/>
    <mergeCell ref="D4:D7"/>
    <mergeCell ref="F6:G6"/>
    <mergeCell ref="E4:O4"/>
    <mergeCell ref="A94:C94"/>
    <mergeCell ref="A91:A93"/>
    <mergeCell ref="A34:A36"/>
    <mergeCell ref="A38:A39"/>
    <mergeCell ref="A57:A64"/>
    <mergeCell ref="A53:A55"/>
    <mergeCell ref="A76:A80"/>
    <mergeCell ref="A18:A19"/>
    <mergeCell ref="A21:A25"/>
    <mergeCell ref="A13:A14"/>
    <mergeCell ref="A83:A85"/>
    <mergeCell ref="A27:A32"/>
  </mergeCells>
  <printOptions horizontalCentered="1"/>
  <pageMargins left="0" right="0" top="0.6692913385826772" bottom="0.59055118110236227" header="0" footer="0.31496062992125984"/>
  <pageSetup paperSize="9" scale="75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2</vt:lpstr>
      <vt:lpstr>'2'!Obszar_wydruku</vt:lpstr>
      <vt:lpstr>'2'!Tytuły_wydruku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2011-12-28T11:22:46Z</dcterms:created>
  <dcterms:modified xsi:type="dcterms:W3CDTF">2011-12-28T11:26:55Z</dcterms:modified>
</cp:coreProperties>
</file>