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.bak\Desktop\budżet na 2026\uchwała budzetow i załaczniki\"/>
    </mc:Choice>
  </mc:AlternateContent>
  <xr:revisionPtr revIDLastSave="0" documentId="13_ncr:1_{C5C0285A-8FD7-42B2-A04F-63AC0ACB4079}" xr6:coauthVersionLast="47" xr6:coauthVersionMax="47" xr10:uidLastSave="{00000000-0000-0000-0000-000000000000}"/>
  <bookViews>
    <workbookView xWindow="-25320" yWindow="-30" windowWidth="25440" windowHeight="15270" activeTab="4" xr2:uid="{4506AC1A-1416-4E07-8B3E-0D762160A10A}"/>
  </bookViews>
  <sheets>
    <sheet name="dochody " sheetId="9" r:id="rId1"/>
    <sheet name="wydatki własne" sheetId="7" r:id="rId2"/>
    <sheet name="wydatki zlecone " sheetId="11" r:id="rId3"/>
    <sheet name="wydatki pow" sheetId="4" r:id="rId4"/>
    <sheet name="wyd. inw" sheetId="5" r:id="rId5"/>
    <sheet name="Wykonanie 8 2025" sheetId="10" state="hidden" r:id="rId6"/>
  </sheets>
  <externalReferences>
    <externalReference r:id="rId7"/>
    <externalReference r:id="rId8"/>
    <externalReference r:id="rId9"/>
  </externalReferences>
  <definedNames>
    <definedName name="_xlnm._FilterDatabase" localSheetId="0" hidden="1">'dochody '!$A$9:$I$454</definedName>
    <definedName name="_xlnm._FilterDatabase" localSheetId="4" hidden="1">'wyd. inw'!#REF!</definedName>
    <definedName name="_xlnm._FilterDatabase" localSheetId="3" hidden="1">'wydatki pow'!$A$7:$J$11</definedName>
    <definedName name="_xlnm._FilterDatabase" localSheetId="1" hidden="1">'wydatki własne'!$A$696:$J$717</definedName>
    <definedName name="_xlnm._FilterDatabase" localSheetId="2" hidden="1">'wydatki zlecone '!$A$7:$J$118</definedName>
    <definedName name="_xlnm._FilterDatabase" localSheetId="5" hidden="1">'Wykonanie 8 2025'!$A$1:$L$1372</definedName>
    <definedName name="_xlnm.Print_Area" localSheetId="0">'dochody '!$A$1:$I$478</definedName>
    <definedName name="_xlnm.Print_Area" localSheetId="4">'wyd. inw'!$A$1:$F$31</definedName>
    <definedName name="_xlnm.Print_Area" localSheetId="3">'wydatki pow'!$A$1:$J$23</definedName>
    <definedName name="_xlnm.Print_Area" localSheetId="1">'wydatki własne'!$A$1:$J$717</definedName>
    <definedName name="_xlnm.Print_Area" localSheetId="2">'wydatki zlecone '!$A$1:$J$118</definedName>
    <definedName name="_xlnm.Print_Titles" localSheetId="4">'wyd. inw'!$8:$12</definedName>
    <definedName name="_xlnm.Print_Titles" localSheetId="3">'wydatki pow'!$7:$11</definedName>
    <definedName name="_xlnm.Print_Titles" localSheetId="2">'wydatki zlecone '!$7:$11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1" i="7" l="1"/>
  <c r="F49" i="7"/>
  <c r="I475" i="9"/>
  <c r="H475" i="9"/>
  <c r="H241" i="9"/>
  <c r="I91" i="7"/>
  <c r="I77" i="7"/>
  <c r="I76" i="7" s="1"/>
  <c r="J13" i="11" l="1"/>
  <c r="J14" i="11"/>
  <c r="J15" i="11"/>
  <c r="J16" i="11"/>
  <c r="J17" i="11"/>
  <c r="J18" i="11"/>
  <c r="J19" i="11"/>
  <c r="J20" i="11"/>
  <c r="J21" i="11"/>
  <c r="J22" i="11"/>
  <c r="J23" i="11"/>
  <c r="J24" i="11"/>
  <c r="J25" i="11"/>
  <c r="J26" i="11"/>
  <c r="J27" i="11"/>
  <c r="J28" i="11"/>
  <c r="J29" i="11"/>
  <c r="J30" i="11"/>
  <c r="J31" i="11"/>
  <c r="J32" i="11"/>
  <c r="J33" i="11"/>
  <c r="J34" i="11"/>
  <c r="J35" i="11"/>
  <c r="J36" i="11"/>
  <c r="J37" i="11"/>
  <c r="J38" i="11"/>
  <c r="J39" i="11"/>
  <c r="J40" i="11"/>
  <c r="J41" i="11"/>
  <c r="J42" i="11"/>
  <c r="J43" i="11"/>
  <c r="J44" i="11"/>
  <c r="J45" i="11"/>
  <c r="J46" i="11"/>
  <c r="J47" i="11"/>
  <c r="J48" i="11"/>
  <c r="J49" i="11"/>
  <c r="J50" i="11"/>
  <c r="J51" i="11"/>
  <c r="J52" i="11"/>
  <c r="J53" i="11"/>
  <c r="J54" i="11"/>
  <c r="J55" i="11"/>
  <c r="J56" i="11"/>
  <c r="J57" i="11"/>
  <c r="J58" i="11"/>
  <c r="J59" i="11"/>
  <c r="J60" i="11"/>
  <c r="J61" i="11"/>
  <c r="J62" i="11"/>
  <c r="J63" i="11"/>
  <c r="J64" i="11"/>
  <c r="J65" i="11"/>
  <c r="J66" i="11"/>
  <c r="J67" i="11"/>
  <c r="J68" i="11"/>
  <c r="J69" i="11"/>
  <c r="J70" i="11"/>
  <c r="J71" i="11"/>
  <c r="J72" i="11"/>
  <c r="J73" i="11"/>
  <c r="J74" i="11"/>
  <c r="J75" i="11"/>
  <c r="J76" i="11"/>
  <c r="J77" i="11"/>
  <c r="J78" i="11"/>
  <c r="J79" i="11"/>
  <c r="J80" i="11"/>
  <c r="J81" i="11"/>
  <c r="J82" i="11"/>
  <c r="J83" i="11"/>
  <c r="J84" i="11"/>
  <c r="J85" i="11"/>
  <c r="J86" i="11"/>
  <c r="J87" i="11"/>
  <c r="J88" i="11"/>
  <c r="J89" i="11"/>
  <c r="J90" i="11"/>
  <c r="J91" i="11"/>
  <c r="J92" i="11"/>
  <c r="J93" i="11"/>
  <c r="J94" i="11"/>
  <c r="J95" i="11"/>
  <c r="J96" i="11"/>
  <c r="J97" i="11"/>
  <c r="J98" i="11"/>
  <c r="J99" i="11"/>
  <c r="J100" i="11"/>
  <c r="J101" i="11"/>
  <c r="J102" i="11"/>
  <c r="J103" i="11"/>
  <c r="J104" i="11"/>
  <c r="J105" i="11"/>
  <c r="J106" i="11"/>
  <c r="J107" i="11"/>
  <c r="J108" i="11"/>
  <c r="J109" i="11"/>
  <c r="J110" i="11"/>
  <c r="J111" i="11"/>
  <c r="J112" i="11"/>
  <c r="J113" i="11"/>
  <c r="J114" i="11"/>
  <c r="J115" i="11"/>
  <c r="J116" i="11"/>
  <c r="J117" i="11"/>
  <c r="J12" i="11"/>
  <c r="F117" i="11"/>
  <c r="G117" i="11" s="1"/>
  <c r="F116" i="11"/>
  <c r="G116" i="11" s="1"/>
  <c r="F115" i="11"/>
  <c r="F114" i="11" s="1"/>
  <c r="F113" i="11" s="1"/>
  <c r="I114" i="11"/>
  <c r="E114" i="11"/>
  <c r="I113" i="11"/>
  <c r="H113" i="11"/>
  <c r="E113" i="11"/>
  <c r="I109" i="11"/>
  <c r="H109" i="11"/>
  <c r="G109" i="11"/>
  <c r="G108" i="11" s="1"/>
  <c r="F109" i="11"/>
  <c r="F108" i="11" s="1"/>
  <c r="E109" i="11"/>
  <c r="I108" i="11"/>
  <c r="I107" i="11" s="1"/>
  <c r="H108" i="11"/>
  <c r="H107" i="11" s="1"/>
  <c r="E108" i="11"/>
  <c r="E107" i="11" s="1"/>
  <c r="F105" i="11"/>
  <c r="I103" i="11"/>
  <c r="I102" i="11" s="1"/>
  <c r="H102" i="11" s="1"/>
  <c r="H103" i="11"/>
  <c r="G103" i="11"/>
  <c r="F103" i="11"/>
  <c r="F102" i="11" s="1"/>
  <c r="E103" i="11"/>
  <c r="E102" i="11" s="1"/>
  <c r="I101" i="11"/>
  <c r="H101" i="11" s="1"/>
  <c r="G101" i="11"/>
  <c r="G98" i="11" s="1"/>
  <c r="G97" i="11" s="1"/>
  <c r="G96" i="11" s="1"/>
  <c r="F101" i="11"/>
  <c r="H100" i="11"/>
  <c r="F100" i="11"/>
  <c r="I99" i="11"/>
  <c r="H99" i="11" s="1"/>
  <c r="G99" i="11"/>
  <c r="F99" i="11"/>
  <c r="F98" i="11" s="1"/>
  <c r="F97" i="11" s="1"/>
  <c r="E98" i="11"/>
  <c r="E97" i="11"/>
  <c r="F95" i="11"/>
  <c r="F94" i="11" s="1"/>
  <c r="F93" i="11" s="1"/>
  <c r="I94" i="11"/>
  <c r="I93" i="11" s="1"/>
  <c r="I88" i="11" s="1"/>
  <c r="H94" i="11"/>
  <c r="G94" i="11"/>
  <c r="E94" i="11"/>
  <c r="E93" i="11" s="1"/>
  <c r="H93" i="11"/>
  <c r="G93" i="11"/>
  <c r="F92" i="11"/>
  <c r="F90" i="11" s="1"/>
  <c r="F89" i="11" s="1"/>
  <c r="I90" i="11"/>
  <c r="H90" i="11"/>
  <c r="G90" i="11"/>
  <c r="G89" i="11" s="1"/>
  <c r="G88" i="11" s="1"/>
  <c r="E90" i="11"/>
  <c r="I89" i="11"/>
  <c r="H89" i="11"/>
  <c r="H88" i="11" s="1"/>
  <c r="E89" i="11"/>
  <c r="F87" i="11"/>
  <c r="I86" i="11"/>
  <c r="H86" i="11"/>
  <c r="H85" i="11" s="1"/>
  <c r="H84" i="11" s="1"/>
  <c r="G86" i="11"/>
  <c r="F86" i="11"/>
  <c r="F85" i="11" s="1"/>
  <c r="F84" i="11" s="1"/>
  <c r="E86" i="11"/>
  <c r="E85" i="11" s="1"/>
  <c r="E84" i="11" s="1"/>
  <c r="I85" i="11"/>
  <c r="G85" i="11"/>
  <c r="G84" i="11" s="1"/>
  <c r="I84" i="11"/>
  <c r="F83" i="11"/>
  <c r="F82" i="11" s="1"/>
  <c r="I82" i="11"/>
  <c r="H82" i="11"/>
  <c r="E82" i="11"/>
  <c r="F81" i="11"/>
  <c r="E81" i="11"/>
  <c r="E80" i="11" s="1"/>
  <c r="E77" i="11" s="1"/>
  <c r="E76" i="11" s="1"/>
  <c r="I80" i="11"/>
  <c r="I77" i="11" s="1"/>
  <c r="I76" i="11" s="1"/>
  <c r="H80" i="11"/>
  <c r="H77" i="11" s="1"/>
  <c r="H76" i="11" s="1"/>
  <c r="F80" i="11"/>
  <c r="F79" i="11"/>
  <c r="F78" i="11"/>
  <c r="G77" i="11"/>
  <c r="G76" i="11" s="1"/>
  <c r="H75" i="11"/>
  <c r="F75" i="11"/>
  <c r="G75" i="11" s="1"/>
  <c r="F74" i="11"/>
  <c r="G74" i="11" s="1"/>
  <c r="H73" i="11"/>
  <c r="F73" i="11"/>
  <c r="I72" i="11"/>
  <c r="E72" i="11"/>
  <c r="E71" i="11" s="1"/>
  <c r="E70" i="11" s="1"/>
  <c r="I71" i="11"/>
  <c r="H71" i="11"/>
  <c r="H70" i="11" s="1"/>
  <c r="I70" i="11"/>
  <c r="I67" i="11"/>
  <c r="H67" i="11"/>
  <c r="H66" i="11" s="1"/>
  <c r="G67" i="11"/>
  <c r="G66" i="11" s="1"/>
  <c r="F67" i="11"/>
  <c r="F66" i="11" s="1"/>
  <c r="E67" i="11"/>
  <c r="I66" i="11"/>
  <c r="E66" i="11"/>
  <c r="G65" i="11"/>
  <c r="F64" i="11"/>
  <c r="F63" i="11"/>
  <c r="I62" i="11"/>
  <c r="G62" i="11"/>
  <c r="F62" i="11"/>
  <c r="E61" i="11"/>
  <c r="H60" i="11"/>
  <c r="H59" i="11" s="1"/>
  <c r="E60" i="11"/>
  <c r="E59" i="11" s="1"/>
  <c r="I55" i="11"/>
  <c r="I54" i="11" s="1"/>
  <c r="H55" i="11"/>
  <c r="H54" i="11" s="1"/>
  <c r="H49" i="11" s="1"/>
  <c r="G55" i="11"/>
  <c r="F55" i="11"/>
  <c r="F54" i="11" s="1"/>
  <c r="E55" i="11"/>
  <c r="E54" i="11" s="1"/>
  <c r="G54" i="11"/>
  <c r="F53" i="11"/>
  <c r="G53" i="11" s="1"/>
  <c r="I52" i="11"/>
  <c r="H52" i="11"/>
  <c r="H53" i="11" s="1"/>
  <c r="F52" i="11"/>
  <c r="F51" i="11" s="1"/>
  <c r="F50" i="11" s="1"/>
  <c r="F49" i="11" s="1"/>
  <c r="E51" i="11"/>
  <c r="H50" i="11"/>
  <c r="E50" i="11"/>
  <c r="E49" i="11" s="1"/>
  <c r="F47" i="11"/>
  <c r="F46" i="11" s="1"/>
  <c r="F45" i="11" s="1"/>
  <c r="F44" i="11" s="1"/>
  <c r="I46" i="11"/>
  <c r="I45" i="11" s="1"/>
  <c r="I44" i="11" s="1"/>
  <c r="H46" i="11"/>
  <c r="H45" i="11" s="1"/>
  <c r="H44" i="11" s="1"/>
  <c r="E46" i="11"/>
  <c r="E45" i="11" s="1"/>
  <c r="E44" i="11" s="1"/>
  <c r="F42" i="11"/>
  <c r="E42" i="11"/>
  <c r="I41" i="11"/>
  <c r="H41" i="11"/>
  <c r="F41" i="11"/>
  <c r="E41" i="11"/>
  <c r="I39" i="11"/>
  <c r="I36" i="11" s="1"/>
  <c r="I35" i="11" s="1"/>
  <c r="F39" i="11"/>
  <c r="G39" i="11" s="1"/>
  <c r="G38" i="11"/>
  <c r="F38" i="11"/>
  <c r="I37" i="11"/>
  <c r="H37" i="11"/>
  <c r="H39" i="11" s="1"/>
  <c r="H36" i="11" s="1"/>
  <c r="H35" i="11" s="1"/>
  <c r="F37" i="11"/>
  <c r="F36" i="11" s="1"/>
  <c r="F35" i="11" s="1"/>
  <c r="E36" i="11"/>
  <c r="E35" i="11"/>
  <c r="I33" i="11"/>
  <c r="I32" i="11" s="1"/>
  <c r="H33" i="11"/>
  <c r="H32" i="11" s="1"/>
  <c r="G33" i="11"/>
  <c r="G32" i="11" s="1"/>
  <c r="F33" i="11"/>
  <c r="F32" i="11" s="1"/>
  <c r="E33" i="11"/>
  <c r="E32" i="11"/>
  <c r="I29" i="11"/>
  <c r="H29" i="11"/>
  <c r="H21" i="11" s="1"/>
  <c r="G29" i="11"/>
  <c r="F29" i="11"/>
  <c r="E29" i="11"/>
  <c r="F27" i="11"/>
  <c r="F26" i="11" s="1"/>
  <c r="I26" i="11"/>
  <c r="H26" i="11"/>
  <c r="G26" i="11"/>
  <c r="E26" i="11"/>
  <c r="E21" i="11" s="1"/>
  <c r="E20" i="11" s="1"/>
  <c r="G25" i="11"/>
  <c r="G24" i="11"/>
  <c r="F23" i="11"/>
  <c r="G23" i="11" s="1"/>
  <c r="G22" i="11" s="1"/>
  <c r="G21" i="11" s="1"/>
  <c r="I22" i="11"/>
  <c r="H22" i="11"/>
  <c r="E22" i="11"/>
  <c r="I21" i="11"/>
  <c r="I20" i="11" s="1"/>
  <c r="H19" i="11"/>
  <c r="H18" i="11"/>
  <c r="F18" i="11"/>
  <c r="F16" i="11" s="1"/>
  <c r="H17" i="11"/>
  <c r="H16" i="11" s="1"/>
  <c r="I16" i="11"/>
  <c r="G16" i="11"/>
  <c r="E16" i="11"/>
  <c r="E13" i="11" s="1"/>
  <c r="E12" i="11" s="1"/>
  <c r="I15" i="11"/>
  <c r="H15" i="11" s="1"/>
  <c r="H14" i="11" s="1"/>
  <c r="H13" i="11" s="1"/>
  <c r="H12" i="11" s="1"/>
  <c r="G15" i="11"/>
  <c r="G14" i="11" s="1"/>
  <c r="G13" i="11" s="1"/>
  <c r="G12" i="11" s="1"/>
  <c r="F15" i="11"/>
  <c r="F14" i="11" s="1"/>
  <c r="E14" i="11"/>
  <c r="F61" i="11" l="1"/>
  <c r="F60" i="11" s="1"/>
  <c r="F13" i="11"/>
  <c r="F12" i="11" s="1"/>
  <c r="F72" i="11"/>
  <c r="F71" i="11" s="1"/>
  <c r="F70" i="11" s="1"/>
  <c r="G52" i="11"/>
  <c r="G51" i="11" s="1"/>
  <c r="G50" i="11" s="1"/>
  <c r="G49" i="11" s="1"/>
  <c r="J118" i="11"/>
  <c r="E96" i="11"/>
  <c r="F88" i="11"/>
  <c r="F59" i="11"/>
  <c r="F96" i="11"/>
  <c r="H20" i="11"/>
  <c r="E88" i="11"/>
  <c r="E118" i="11" s="1"/>
  <c r="F107" i="11"/>
  <c r="F77" i="11"/>
  <c r="F76" i="11" s="1"/>
  <c r="G115" i="11"/>
  <c r="G114" i="11" s="1"/>
  <c r="G113" i="11" s="1"/>
  <c r="G107" i="11" s="1"/>
  <c r="G73" i="11"/>
  <c r="G72" i="11" s="1"/>
  <c r="G71" i="11" s="1"/>
  <c r="G70" i="11" s="1"/>
  <c r="F22" i="11"/>
  <c r="F21" i="11" s="1"/>
  <c r="F20" i="11" s="1"/>
  <c r="G47" i="11"/>
  <c r="G46" i="11" s="1"/>
  <c r="G45" i="11" s="1"/>
  <c r="G44" i="11" s="1"/>
  <c r="G37" i="11"/>
  <c r="G36" i="11" s="1"/>
  <c r="G35" i="11" s="1"/>
  <c r="G20" i="11" s="1"/>
  <c r="G118" i="11" s="1"/>
  <c r="G64" i="11"/>
  <c r="G61" i="11" s="1"/>
  <c r="G60" i="11" s="1"/>
  <c r="G59" i="11" s="1"/>
  <c r="I53" i="11"/>
  <c r="I51" i="11" s="1"/>
  <c r="I50" i="11" s="1"/>
  <c r="I49" i="11" s="1"/>
  <c r="I64" i="11"/>
  <c r="I61" i="11" s="1"/>
  <c r="I60" i="11" s="1"/>
  <c r="I59" i="11" s="1"/>
  <c r="I14" i="11"/>
  <c r="I13" i="11" s="1"/>
  <c r="I12" i="11" s="1"/>
  <c r="I98" i="11"/>
  <c r="F118" i="11" l="1"/>
  <c r="I97" i="11"/>
  <c r="I96" i="11" s="1"/>
  <c r="I118" i="11" s="1"/>
  <c r="H98" i="11"/>
  <c r="H97" i="11" s="1"/>
  <c r="H96" i="11" s="1"/>
  <c r="H118" i="11" s="1"/>
  <c r="J273" i="7" l="1"/>
  <c r="J171" i="7"/>
  <c r="J246" i="7"/>
  <c r="J583" i="7"/>
  <c r="G470" i="9"/>
  <c r="F470" i="9"/>
  <c r="F31" i="5"/>
  <c r="J364" i="7"/>
  <c r="M179" i="7"/>
  <c r="M186" i="7"/>
  <c r="M187" i="7" s="1"/>
  <c r="M185" i="7"/>
  <c r="M184" i="7"/>
  <c r="M182" i="7"/>
  <c r="M181" i="7"/>
  <c r="M180" i="7"/>
  <c r="J90" i="7"/>
  <c r="I83" i="7"/>
  <c r="H83" i="7"/>
  <c r="G83" i="7"/>
  <c r="F83" i="7"/>
  <c r="E83" i="7"/>
  <c r="D83" i="7"/>
  <c r="I238" i="9"/>
  <c r="E436" i="9"/>
  <c r="E405" i="9"/>
  <c r="E388" i="9"/>
  <c r="I420" i="9"/>
  <c r="I293" i="9"/>
  <c r="I102" i="9"/>
  <c r="J105" i="7"/>
  <c r="J109" i="7"/>
  <c r="E15" i="9" l="1"/>
  <c r="I18" i="9"/>
  <c r="H18" i="9"/>
  <c r="H474" i="9"/>
  <c r="D674" i="7"/>
  <c r="I453" i="7"/>
  <c r="I454" i="7"/>
  <c r="I452" i="7"/>
  <c r="J22" i="4" l="1"/>
  <c r="H461" i="9"/>
  <c r="I461" i="9" s="1"/>
  <c r="E461" i="9"/>
  <c r="F459" i="9"/>
  <c r="G459" i="9"/>
  <c r="H459" i="9"/>
  <c r="E459" i="9"/>
  <c r="G371" i="7"/>
  <c r="H371" i="7"/>
  <c r="I371" i="7"/>
  <c r="J371" i="7"/>
  <c r="F371" i="7"/>
  <c r="E435" i="9"/>
  <c r="H239" i="9"/>
  <c r="H238" i="9" l="1"/>
  <c r="H235" i="9" s="1"/>
  <c r="H243" i="9"/>
  <c r="I243" i="9"/>
  <c r="F245" i="9"/>
  <c r="G245" i="9" s="1"/>
  <c r="F244" i="9"/>
  <c r="G244" i="9" s="1"/>
  <c r="F238" i="9"/>
  <c r="E160" i="7"/>
  <c r="E159" i="7" s="1"/>
  <c r="F160" i="7"/>
  <c r="F159" i="7" s="1"/>
  <c r="G160" i="7"/>
  <c r="G159" i="7" s="1"/>
  <c r="H160" i="7"/>
  <c r="I160" i="7"/>
  <c r="D160" i="7"/>
  <c r="D159" i="7" s="1"/>
  <c r="D155" i="7" s="1"/>
  <c r="J161" i="7"/>
  <c r="J160" i="7" s="1"/>
  <c r="H159" i="7"/>
  <c r="F70" i="7"/>
  <c r="F53" i="7"/>
  <c r="H51" i="9"/>
  <c r="I51" i="9"/>
  <c r="E51" i="9"/>
  <c r="G42" i="9"/>
  <c r="H42" i="9"/>
  <c r="I42" i="9"/>
  <c r="E86" i="7"/>
  <c r="F86" i="7"/>
  <c r="G86" i="7"/>
  <c r="H86" i="7"/>
  <c r="I86" i="7"/>
  <c r="J86" i="7"/>
  <c r="F373" i="7"/>
  <c r="G373" i="7"/>
  <c r="H373" i="7"/>
  <c r="I373" i="7"/>
  <c r="J373" i="7"/>
  <c r="D373" i="7"/>
  <c r="F243" i="9" l="1"/>
  <c r="G243" i="9"/>
  <c r="J159" i="7"/>
  <c r="I159" i="7"/>
  <c r="F150" i="7"/>
  <c r="F129" i="7"/>
  <c r="F107" i="7"/>
  <c r="F85" i="7"/>
  <c r="F63" i="7"/>
  <c r="J442" i="7" l="1"/>
  <c r="I301" i="9"/>
  <c r="I342" i="9"/>
  <c r="I339" i="9"/>
  <c r="I282" i="9" l="1"/>
  <c r="I72" i="9"/>
  <c r="I66" i="9"/>
  <c r="I59" i="9"/>
  <c r="I47" i="9"/>
  <c r="I35" i="9"/>
  <c r="I37" i="9"/>
  <c r="I36" i="9" s="1"/>
  <c r="I40" i="9"/>
  <c r="I459" i="9" s="1"/>
  <c r="G38" i="9"/>
  <c r="H38" i="9"/>
  <c r="E38" i="9"/>
  <c r="F36" i="9"/>
  <c r="G36" i="9"/>
  <c r="H36" i="9"/>
  <c r="E36" i="9"/>
  <c r="I31" i="9"/>
  <c r="H125" i="9"/>
  <c r="H108" i="9"/>
  <c r="F22" i="4"/>
  <c r="I15" i="4"/>
  <c r="F16" i="4"/>
  <c r="F15" i="4"/>
  <c r="H237" i="9"/>
  <c r="G268" i="9"/>
  <c r="H268" i="9"/>
  <c r="I268" i="9"/>
  <c r="G270" i="9"/>
  <c r="H270" i="9"/>
  <c r="I270" i="9"/>
  <c r="G25" i="9"/>
  <c r="G106" i="9"/>
  <c r="H106" i="9"/>
  <c r="I106" i="9"/>
  <c r="F106" i="9"/>
  <c r="G100" i="9"/>
  <c r="H100" i="9"/>
  <c r="I100" i="9"/>
  <c r="F100" i="9"/>
  <c r="H48" i="9"/>
  <c r="I48" i="9"/>
  <c r="E375" i="9"/>
  <c r="E374" i="9" s="1"/>
  <c r="E357" i="9"/>
  <c r="E356" i="9" s="1"/>
  <c r="E352" i="9"/>
  <c r="E345" i="9" s="1"/>
  <c r="E332" i="9"/>
  <c r="E320" i="9"/>
  <c r="E316" i="9"/>
  <c r="E312" i="9"/>
  <c r="E307" i="9"/>
  <c r="E291" i="9"/>
  <c r="E130" i="9"/>
  <c r="E46" i="9"/>
  <c r="E144" i="9" l="1"/>
  <c r="E344" i="9"/>
  <c r="E306" i="9"/>
  <c r="G448" i="9"/>
  <c r="G450" i="9"/>
  <c r="G452" i="9"/>
  <c r="F453" i="9"/>
  <c r="F444" i="9"/>
  <c r="F442" i="9"/>
  <c r="I443" i="9"/>
  <c r="G433" i="9"/>
  <c r="G434" i="9"/>
  <c r="G432" i="9"/>
  <c r="F432" i="9"/>
  <c r="F421" i="9"/>
  <c r="F418" i="9"/>
  <c r="G418" i="9" s="1"/>
  <c r="F419" i="9"/>
  <c r="G419" i="9" s="1"/>
  <c r="F417" i="9"/>
  <c r="G417" i="9" s="1"/>
  <c r="F411" i="9"/>
  <c r="F409" i="9"/>
  <c r="G407" i="9"/>
  <c r="F404" i="9"/>
  <c r="F403" i="9" s="1"/>
  <c r="F402" i="9"/>
  <c r="F400" i="9"/>
  <c r="G400" i="9" s="1"/>
  <c r="F401" i="9"/>
  <c r="G398" i="9"/>
  <c r="F396" i="9"/>
  <c r="F392" i="9"/>
  <c r="G390" i="9"/>
  <c r="F376" i="9"/>
  <c r="F358" i="9"/>
  <c r="G349" i="9"/>
  <c r="F353" i="9"/>
  <c r="F343" i="9"/>
  <c r="F342" i="9"/>
  <c r="F339" i="9"/>
  <c r="F337" i="9"/>
  <c r="F331" i="9"/>
  <c r="G331" i="9" s="1"/>
  <c r="H331" i="9" s="1"/>
  <c r="F324" i="9"/>
  <c r="F318" i="9"/>
  <c r="I246" i="7"/>
  <c r="G315" i="9"/>
  <c r="F313" i="9"/>
  <c r="G313" i="9" s="1"/>
  <c r="F314" i="9"/>
  <c r="G314" i="9" s="1"/>
  <c r="F310" i="9"/>
  <c r="F308" i="9" s="1"/>
  <c r="F305" i="9"/>
  <c r="G305" i="9" s="1"/>
  <c r="F303" i="9"/>
  <c r="G303" i="9" s="1"/>
  <c r="F299" i="9"/>
  <c r="G299" i="9" s="1"/>
  <c r="F301" i="9"/>
  <c r="G301" i="9" s="1"/>
  <c r="F296" i="9"/>
  <c r="G296" i="9" s="1"/>
  <c r="F293" i="9"/>
  <c r="F292" i="9"/>
  <c r="F290" i="9"/>
  <c r="G290" i="9" s="1"/>
  <c r="F287" i="9"/>
  <c r="G287" i="9" s="1"/>
  <c r="F284" i="9"/>
  <c r="G284" i="9" s="1"/>
  <c r="F282" i="9"/>
  <c r="G282" i="9" s="1"/>
  <c r="F271" i="9"/>
  <c r="F270" i="9" s="1"/>
  <c r="F265" i="9"/>
  <c r="F267" i="9"/>
  <c r="F269" i="9"/>
  <c r="F268" i="9" s="1"/>
  <c r="F261" i="9"/>
  <c r="G261" i="9" s="1"/>
  <c r="F259" i="9"/>
  <c r="G259" i="9" s="1"/>
  <c r="H251" i="9"/>
  <c r="G253" i="9"/>
  <c r="G254" i="9"/>
  <c r="G252" i="9"/>
  <c r="F254" i="9"/>
  <c r="F253" i="9"/>
  <c r="F249" i="9"/>
  <c r="G249" i="9" s="1"/>
  <c r="G246" i="9"/>
  <c r="F246" i="9"/>
  <c r="F247" i="9"/>
  <c r="F248" i="9"/>
  <c r="G236" i="9"/>
  <c r="F236" i="9"/>
  <c r="F234" i="9"/>
  <c r="G234" i="9" s="1"/>
  <c r="F233" i="9"/>
  <c r="G233" i="9" s="1"/>
  <c r="E222" i="9"/>
  <c r="F226" i="9"/>
  <c r="G218" i="9"/>
  <c r="G200" i="9"/>
  <c r="G197" i="9"/>
  <c r="F219" i="9"/>
  <c r="G219" i="9" s="1"/>
  <c r="F203" i="9"/>
  <c r="F202" i="9"/>
  <c r="F199" i="9"/>
  <c r="F196" i="9"/>
  <c r="E173" i="9"/>
  <c r="F192" i="9"/>
  <c r="G192" i="9" s="1"/>
  <c r="G191" i="9"/>
  <c r="G185" i="9"/>
  <c r="G179" i="9"/>
  <c r="G176" i="9"/>
  <c r="F182" i="9"/>
  <c r="F171" i="9"/>
  <c r="G166" i="9"/>
  <c r="G164" i="9"/>
  <c r="G163" i="9"/>
  <c r="G161" i="9"/>
  <c r="G158" i="9"/>
  <c r="F155" i="9"/>
  <c r="F153" i="9"/>
  <c r="F152" i="9"/>
  <c r="G150" i="9"/>
  <c r="G149" i="9"/>
  <c r="G147" i="9"/>
  <c r="G146" i="9"/>
  <c r="G136" i="9"/>
  <c r="G132" i="9"/>
  <c r="F134" i="9"/>
  <c r="F127" i="9"/>
  <c r="I128" i="9"/>
  <c r="I127" i="9" s="1"/>
  <c r="E127" i="9" s="1"/>
  <c r="H127" i="9"/>
  <c r="F126" i="9"/>
  <c r="G126" i="9" s="1"/>
  <c r="G125" i="9" s="1"/>
  <c r="F125" i="9"/>
  <c r="H116" i="9"/>
  <c r="I116" i="9"/>
  <c r="E116" i="9"/>
  <c r="F124" i="9"/>
  <c r="F113" i="9"/>
  <c r="G113" i="9"/>
  <c r="H113" i="9"/>
  <c r="I113" i="9"/>
  <c r="E113" i="9"/>
  <c r="E108" i="9"/>
  <c r="F111" i="9"/>
  <c r="G111" i="9" s="1"/>
  <c r="F110" i="9"/>
  <c r="G110" i="9" s="1"/>
  <c r="H95" i="9"/>
  <c r="I95" i="9"/>
  <c r="G96" i="9"/>
  <c r="G95" i="9" s="1"/>
  <c r="F97" i="9"/>
  <c r="F96" i="9"/>
  <c r="G93" i="9"/>
  <c r="H93" i="9"/>
  <c r="I93" i="9"/>
  <c r="F94" i="9"/>
  <c r="F93" i="9" s="1"/>
  <c r="G90" i="9"/>
  <c r="H90" i="9"/>
  <c r="I90" i="9"/>
  <c r="F91" i="9"/>
  <c r="F90" i="9" s="1"/>
  <c r="G87" i="9"/>
  <c r="H87" i="9"/>
  <c r="I87" i="9"/>
  <c r="F88" i="9"/>
  <c r="F87" i="9" s="1"/>
  <c r="G84" i="9"/>
  <c r="H84" i="9"/>
  <c r="I84" i="9"/>
  <c r="F85" i="9"/>
  <c r="F84" i="9" s="1"/>
  <c r="G80" i="9"/>
  <c r="H80" i="9"/>
  <c r="I80" i="9"/>
  <c r="F81" i="9"/>
  <c r="F80" i="9" s="1"/>
  <c r="E83" i="9"/>
  <c r="E82" i="9"/>
  <c r="E81" i="9"/>
  <c r="G78" i="9"/>
  <c r="H78" i="9"/>
  <c r="I78" i="9"/>
  <c r="F79" i="9"/>
  <c r="F78" i="9" s="1"/>
  <c r="G75" i="9"/>
  <c r="H75" i="9"/>
  <c r="I75" i="9"/>
  <c r="F76" i="9"/>
  <c r="F75" i="9" s="1"/>
  <c r="G71" i="9"/>
  <c r="G70" i="9" s="1"/>
  <c r="E77" i="9"/>
  <c r="H71" i="9"/>
  <c r="H70" i="9" s="1"/>
  <c r="I71" i="9"/>
  <c r="I70" i="9" s="1"/>
  <c r="E71" i="9"/>
  <c r="E70" i="9" s="1"/>
  <c r="F72" i="9"/>
  <c r="F71" i="9" s="1"/>
  <c r="F70" i="9" s="1"/>
  <c r="H64" i="9"/>
  <c r="G67" i="9"/>
  <c r="G64" i="9" s="1"/>
  <c r="F66" i="9"/>
  <c r="F59" i="9"/>
  <c r="E58" i="9"/>
  <c r="F53" i="9"/>
  <c r="G53" i="9" s="1"/>
  <c r="F52" i="9"/>
  <c r="F50" i="9"/>
  <c r="F49" i="9"/>
  <c r="F47" i="9"/>
  <c r="G41" i="9"/>
  <c r="H41" i="9"/>
  <c r="I41" i="9"/>
  <c r="F44" i="9"/>
  <c r="F43" i="9"/>
  <c r="F39" i="9"/>
  <c r="F38" i="9" s="1"/>
  <c r="G34" i="9"/>
  <c r="H34" i="9"/>
  <c r="I34" i="9"/>
  <c r="F35" i="9"/>
  <c r="F34" i="9" s="1"/>
  <c r="H27" i="9"/>
  <c r="H26" i="9" s="1"/>
  <c r="I27" i="9"/>
  <c r="I26" i="9" s="1"/>
  <c r="E27" i="9"/>
  <c r="E26" i="9" s="1"/>
  <c r="G24" i="9"/>
  <c r="H24" i="9"/>
  <c r="I24" i="9"/>
  <c r="E24" i="9"/>
  <c r="F31" i="9"/>
  <c r="F32" i="9"/>
  <c r="G32" i="9" s="1"/>
  <c r="F30" i="9"/>
  <c r="F29" i="9"/>
  <c r="F28" i="9"/>
  <c r="G28" i="9" s="1"/>
  <c r="F25" i="9"/>
  <c r="F24" i="9" s="1"/>
  <c r="G16" i="9"/>
  <c r="F16" i="9"/>
  <c r="F23" i="9"/>
  <c r="F22" i="9"/>
  <c r="F18" i="9"/>
  <c r="E243" i="9"/>
  <c r="E246" i="9"/>
  <c r="E247" i="9"/>
  <c r="E261" i="9"/>
  <c r="E265" i="9"/>
  <c r="E264" i="9" s="1"/>
  <c r="E267" i="9"/>
  <c r="E287" i="9"/>
  <c r="E294" i="9"/>
  <c r="E311" i="9"/>
  <c r="E319" i="9"/>
  <c r="E322" i="9"/>
  <c r="E338" i="9"/>
  <c r="E341" i="9"/>
  <c r="E380" i="9"/>
  <c r="E424" i="9"/>
  <c r="E425" i="9"/>
  <c r="E427" i="9"/>
  <c r="E428" i="9"/>
  <c r="I667" i="7"/>
  <c r="I124" i="7"/>
  <c r="I660" i="7"/>
  <c r="I541" i="7"/>
  <c r="I517" i="7"/>
  <c r="I503" i="7"/>
  <c r="F501" i="7"/>
  <c r="I501" i="7"/>
  <c r="I490" i="7"/>
  <c r="I359" i="7"/>
  <c r="I357" i="7"/>
  <c r="I322" i="7"/>
  <c r="I303" i="7"/>
  <c r="I276" i="7"/>
  <c r="I249" i="7"/>
  <c r="F242" i="7"/>
  <c r="I222" i="7"/>
  <c r="I196" i="7"/>
  <c r="I172" i="7"/>
  <c r="I629" i="7"/>
  <c r="I524" i="7"/>
  <c r="F524" i="7"/>
  <c r="I525" i="7"/>
  <c r="F525" i="7"/>
  <c r="I344" i="7"/>
  <c r="I343" i="7"/>
  <c r="F343" i="7"/>
  <c r="I288" i="7"/>
  <c r="I286" i="7"/>
  <c r="F286" i="7"/>
  <c r="F288" i="7" s="1"/>
  <c r="I263" i="7"/>
  <c r="I265" i="7" s="1"/>
  <c r="F263" i="7"/>
  <c r="F265" i="7" s="1"/>
  <c r="I236" i="7"/>
  <c r="I238" i="7" s="1"/>
  <c r="F236" i="7"/>
  <c r="F238" i="7" s="1"/>
  <c r="F480" i="7"/>
  <c r="G480" i="7"/>
  <c r="H480" i="7"/>
  <c r="I480" i="7"/>
  <c r="J480" i="7"/>
  <c r="I441" i="7"/>
  <c r="J441" i="7"/>
  <c r="F442" i="7"/>
  <c r="I311" i="7"/>
  <c r="F311" i="7"/>
  <c r="I231" i="7"/>
  <c r="I230" i="7" s="1"/>
  <c r="I291" i="7"/>
  <c r="I290" i="7" s="1"/>
  <c r="I548" i="7"/>
  <c r="I547" i="7" s="1"/>
  <c r="I496" i="7"/>
  <c r="I495" i="7" s="1"/>
  <c r="F496" i="7"/>
  <c r="F495" i="7" s="1"/>
  <c r="I326" i="7"/>
  <c r="F327" i="7"/>
  <c r="F326" i="7" s="1"/>
  <c r="I203" i="7"/>
  <c r="F204" i="7"/>
  <c r="F203" i="7" s="1"/>
  <c r="I180" i="7"/>
  <c r="I179" i="7" s="1"/>
  <c r="F180" i="7"/>
  <c r="F179" i="7" s="1"/>
  <c r="F548" i="7"/>
  <c r="F547" i="7" s="1"/>
  <c r="I347" i="7"/>
  <c r="I346" i="7"/>
  <c r="F347" i="7"/>
  <c r="F346" i="7"/>
  <c r="G257" i="7"/>
  <c r="I258" i="7"/>
  <c r="I257" i="7" s="1"/>
  <c r="F258" i="7"/>
  <c r="F257" i="7" s="1"/>
  <c r="F231" i="7"/>
  <c r="F230" i="7" s="1"/>
  <c r="G231" i="7"/>
  <c r="G230" i="7" s="1"/>
  <c r="J1381" i="10"/>
  <c r="I39" i="7"/>
  <c r="F39" i="7"/>
  <c r="G34" i="7"/>
  <c r="H34" i="7"/>
  <c r="I34" i="7"/>
  <c r="J34" i="7"/>
  <c r="I350" i="7"/>
  <c r="I351" i="7" s="1"/>
  <c r="F350" i="7"/>
  <c r="F351" i="7" s="1"/>
  <c r="F291" i="7"/>
  <c r="F290" i="7" s="1"/>
  <c r="E291" i="7"/>
  <c r="E667" i="7"/>
  <c r="E660" i="7"/>
  <c r="E655" i="7"/>
  <c r="E652" i="7"/>
  <c r="E651" i="7" s="1"/>
  <c r="J651" i="7"/>
  <c r="I651" i="7"/>
  <c r="H651" i="7"/>
  <c r="G651" i="7"/>
  <c r="F651" i="7"/>
  <c r="E650" i="7"/>
  <c r="E649" i="7"/>
  <c r="E648" i="7"/>
  <c r="E646" i="7"/>
  <c r="E633" i="7"/>
  <c r="E629" i="7"/>
  <c r="E627" i="7"/>
  <c r="E613" i="7"/>
  <c r="E610" i="7"/>
  <c r="E609" i="7"/>
  <c r="E608" i="7"/>
  <c r="E602" i="7"/>
  <c r="E601" i="7"/>
  <c r="E600" i="7"/>
  <c r="E605" i="7"/>
  <c r="E598" i="7"/>
  <c r="F588" i="7"/>
  <c r="G588" i="7"/>
  <c r="H588" i="7"/>
  <c r="I588" i="7"/>
  <c r="J588" i="7"/>
  <c r="D588" i="7"/>
  <c r="E589" i="7"/>
  <c r="E588" i="7" s="1"/>
  <c r="E592" i="7"/>
  <c r="E591" i="7"/>
  <c r="E587" i="7"/>
  <c r="E586" i="7"/>
  <c r="E585" i="7"/>
  <c r="E579" i="7"/>
  <c r="E571" i="7"/>
  <c r="E570" i="7"/>
  <c r="E567" i="7"/>
  <c r="E562" i="7"/>
  <c r="E564" i="7"/>
  <c r="E559" i="7"/>
  <c r="E550" i="7"/>
  <c r="E548" i="7"/>
  <c r="E547" i="7"/>
  <c r="E540" i="7"/>
  <c r="E541" i="7"/>
  <c r="E545" i="7"/>
  <c r="E534" i="7"/>
  <c r="E527" i="7"/>
  <c r="E526" i="7"/>
  <c r="E525" i="7"/>
  <c r="E524" i="7"/>
  <c r="E532" i="7"/>
  <c r="E531" i="7"/>
  <c r="E530" i="7"/>
  <c r="E529" i="7"/>
  <c r="E516" i="7"/>
  <c r="E517" i="7"/>
  <c r="E522" i="7"/>
  <c r="E521" i="7"/>
  <c r="E501" i="7"/>
  <c r="F512" i="7"/>
  <c r="G512" i="7"/>
  <c r="H512" i="7"/>
  <c r="I512" i="7"/>
  <c r="J512" i="7"/>
  <c r="D512" i="7"/>
  <c r="E513" i="7"/>
  <c r="E512" i="7" s="1"/>
  <c r="E511" i="7"/>
  <c r="E510" i="7"/>
  <c r="E509" i="7"/>
  <c r="E508" i="7"/>
  <c r="E503" i="7"/>
  <c r="E502" i="7"/>
  <c r="E498" i="7"/>
  <c r="E497" i="7"/>
  <c r="E496" i="7"/>
  <c r="E495" i="7"/>
  <c r="E490" i="7"/>
  <c r="E489" i="7"/>
  <c r="E493" i="7"/>
  <c r="E481" i="7"/>
  <c r="E485" i="7"/>
  <c r="E470" i="7"/>
  <c r="E469" i="7"/>
  <c r="E468" i="7"/>
  <c r="E463" i="7"/>
  <c r="E462" i="7"/>
  <c r="E458" i="7"/>
  <c r="E456" i="7"/>
  <c r="E454" i="7"/>
  <c r="E452" i="7"/>
  <c r="E446" i="7"/>
  <c r="E442" i="7"/>
  <c r="E432" i="7"/>
  <c r="E431" i="7"/>
  <c r="E430" i="7"/>
  <c r="E422" i="7"/>
  <c r="E421" i="7"/>
  <c r="E420" i="7"/>
  <c r="E412" i="7"/>
  <c r="E411" i="7"/>
  <c r="E410" i="7"/>
  <c r="E405" i="7"/>
  <c r="E398" i="7"/>
  <c r="E395" i="7"/>
  <c r="E390" i="7"/>
  <c r="E388" i="7"/>
  <c r="E386" i="7"/>
  <c r="E377" i="7"/>
  <c r="E376" i="7"/>
  <c r="E364" i="7"/>
  <c r="E370" i="7"/>
  <c r="E368" i="7"/>
  <c r="F368" i="7" s="1"/>
  <c r="E362" i="7"/>
  <c r="E372" i="7"/>
  <c r="E379" i="7"/>
  <c r="F356" i="7"/>
  <c r="G356" i="7"/>
  <c r="H356" i="7"/>
  <c r="J356" i="7"/>
  <c r="D356" i="7"/>
  <c r="E359" i="7"/>
  <c r="E358" i="7"/>
  <c r="E357" i="7"/>
  <c r="E381" i="7"/>
  <c r="E354" i="7"/>
  <c r="E341" i="7"/>
  <c r="E344" i="7"/>
  <c r="F344" i="7" s="1"/>
  <c r="E343" i="7"/>
  <c r="E347" i="7"/>
  <c r="E346" i="7"/>
  <c r="E351" i="7"/>
  <c r="E350" i="7"/>
  <c r="E338" i="7"/>
  <c r="E329" i="7"/>
  <c r="E328" i="7"/>
  <c r="E327" i="7"/>
  <c r="E326" i="7"/>
  <c r="E334" i="7"/>
  <c r="E332" i="7"/>
  <c r="E331" i="7"/>
  <c r="E333" i="7"/>
  <c r="E323" i="7"/>
  <c r="E322" i="7"/>
  <c r="E308" i="7"/>
  <c r="I1373" i="10"/>
  <c r="E313" i="7"/>
  <c r="E312" i="7"/>
  <c r="E311" i="7"/>
  <c r="E310" i="7"/>
  <c r="E303" i="7"/>
  <c r="E302" i="7"/>
  <c r="E306" i="7"/>
  <c r="E273" i="7"/>
  <c r="E299" i="7"/>
  <c r="E297" i="7"/>
  <c r="E296" i="7"/>
  <c r="E295" i="7"/>
  <c r="E293" i="7"/>
  <c r="E285" i="7"/>
  <c r="E288" i="7"/>
  <c r="E287" i="7"/>
  <c r="E286" i="7"/>
  <c r="E292" i="7"/>
  <c r="E290" i="7"/>
  <c r="E274" i="7"/>
  <c r="E276" i="7"/>
  <c r="E275" i="7"/>
  <c r="E280" i="7"/>
  <c r="E270" i="7"/>
  <c r="F270" i="7" s="1"/>
  <c r="E269" i="7"/>
  <c r="F269" i="7" s="1"/>
  <c r="E268" i="7"/>
  <c r="F268" i="7" s="1"/>
  <c r="E267" i="7"/>
  <c r="F267" i="7" s="1"/>
  <c r="E265" i="7"/>
  <c r="E264" i="7"/>
  <c r="E263" i="7"/>
  <c r="E262" i="7"/>
  <c r="E260" i="7"/>
  <c r="E259" i="7"/>
  <c r="E258" i="7"/>
  <c r="E257" i="7"/>
  <c r="E246" i="7"/>
  <c r="E249" i="7"/>
  <c r="E248" i="7"/>
  <c r="E252" i="7"/>
  <c r="E243" i="7"/>
  <c r="F243" i="7" s="1"/>
  <c r="E241" i="7"/>
  <c r="F241" i="7" s="1"/>
  <c r="E240" i="7"/>
  <c r="F240" i="7" s="1"/>
  <c r="E238" i="7"/>
  <c r="E237" i="7"/>
  <c r="E236" i="7"/>
  <c r="E235" i="7"/>
  <c r="E233" i="7"/>
  <c r="E232" i="7"/>
  <c r="E231" i="7"/>
  <c r="E230" i="7"/>
  <c r="E222" i="7"/>
  <c r="E221" i="7"/>
  <c r="E220" i="7"/>
  <c r="E225" i="7"/>
  <c r="J1373" i="10"/>
  <c r="K1373" i="10"/>
  <c r="H1373" i="10"/>
  <c r="E216" i="7"/>
  <c r="E214" i="7"/>
  <c r="E213" i="7"/>
  <c r="E206" i="7"/>
  <c r="E204" i="7"/>
  <c r="E203" i="7"/>
  <c r="E211" i="7"/>
  <c r="E209" i="7"/>
  <c r="E208" i="7"/>
  <c r="E197" i="7"/>
  <c r="E196" i="7"/>
  <c r="E193" i="7"/>
  <c r="E191" i="7"/>
  <c r="E190" i="7"/>
  <c r="E182" i="7"/>
  <c r="E181" i="7"/>
  <c r="E180" i="7"/>
  <c r="E179" i="7"/>
  <c r="E187" i="7"/>
  <c r="E186" i="7"/>
  <c r="E185" i="7"/>
  <c r="E184" i="7"/>
  <c r="E173" i="7"/>
  <c r="E172" i="7"/>
  <c r="E177" i="7"/>
  <c r="E171" i="7"/>
  <c r="E165" i="7"/>
  <c r="E158" i="7"/>
  <c r="I1372" i="10"/>
  <c r="E142" i="7"/>
  <c r="E143" i="7"/>
  <c r="E110" i="7"/>
  <c r="E109" i="7" s="1"/>
  <c r="E117" i="7"/>
  <c r="E115" i="7" s="1"/>
  <c r="E108" i="7"/>
  <c r="E99" i="7"/>
  <c r="E100" i="7"/>
  <c r="E101" i="7"/>
  <c r="E98" i="7"/>
  <c r="E93" i="7"/>
  <c r="E91" i="7" s="1"/>
  <c r="E84" i="7"/>
  <c r="D86" i="7"/>
  <c r="E79" i="7"/>
  <c r="E64" i="7"/>
  <c r="D58" i="7"/>
  <c r="J58" i="7"/>
  <c r="I58" i="7"/>
  <c r="H58" i="7"/>
  <c r="G58" i="7"/>
  <c r="F58" i="7"/>
  <c r="E58" i="7"/>
  <c r="E54" i="7"/>
  <c r="F54" i="7" s="1"/>
  <c r="E51" i="7"/>
  <c r="E35" i="7"/>
  <c r="E39" i="7"/>
  <c r="J16" i="4"/>
  <c r="J71" i="7"/>
  <c r="G31" i="9" l="1"/>
  <c r="G27" i="9" s="1"/>
  <c r="G26" i="9" s="1"/>
  <c r="F458" i="9"/>
  <c r="F457" i="9"/>
  <c r="F19" i="9"/>
  <c r="G308" i="9"/>
  <c r="G461" i="9" s="1"/>
  <c r="F461" i="9"/>
  <c r="I356" i="7"/>
  <c r="F42" i="9"/>
  <c r="G52" i="9"/>
  <c r="F51" i="9"/>
  <c r="E373" i="7"/>
  <c r="F527" i="7"/>
  <c r="I527" i="7"/>
  <c r="E42" i="9"/>
  <c r="G112" i="9"/>
  <c r="H33" i="9"/>
  <c r="G33" i="9"/>
  <c r="G108" i="9"/>
  <c r="H74" i="9"/>
  <c r="E295" i="9"/>
  <c r="G251" i="9"/>
  <c r="F116" i="9"/>
  <c r="F112" i="9" s="1"/>
  <c r="I74" i="9"/>
  <c r="F108" i="9"/>
  <c r="G74" i="9"/>
  <c r="F95" i="9"/>
  <c r="F74" i="9" s="1"/>
  <c r="E74" i="9"/>
  <c r="E73" i="9" s="1"/>
  <c r="F48" i="9"/>
  <c r="F41" i="9"/>
  <c r="F33" i="9" s="1"/>
  <c r="E41" i="9"/>
  <c r="E14" i="9"/>
  <c r="F27" i="9"/>
  <c r="F26" i="9" s="1"/>
  <c r="E590" i="7"/>
  <c r="E105" i="7"/>
  <c r="E356" i="7"/>
  <c r="E289" i="7"/>
  <c r="E170" i="7"/>
  <c r="J398" i="7"/>
  <c r="J613" i="7"/>
  <c r="J492" i="7"/>
  <c r="J395" i="7"/>
  <c r="J386" i="7"/>
  <c r="J348" i="7"/>
  <c r="J277" i="7"/>
  <c r="J225" i="7"/>
  <c r="J198" i="7"/>
  <c r="J174" i="7"/>
  <c r="J129" i="7"/>
  <c r="J115" i="7"/>
  <c r="G475" i="9"/>
  <c r="F475" i="9"/>
  <c r="E475" i="9"/>
  <c r="G472" i="9"/>
  <c r="F472" i="9"/>
  <c r="E472" i="9"/>
  <c r="G471" i="9"/>
  <c r="F471" i="9"/>
  <c r="H460" i="9"/>
  <c r="I452" i="9"/>
  <c r="H451" i="9"/>
  <c r="G451" i="9"/>
  <c r="F451" i="9"/>
  <c r="I450" i="9"/>
  <c r="F450" i="9"/>
  <c r="F449" i="9" s="1"/>
  <c r="H449" i="9"/>
  <c r="G449" i="9"/>
  <c r="I448" i="9"/>
  <c r="F448" i="9"/>
  <c r="F447" i="9" s="1"/>
  <c r="H447" i="9"/>
  <c r="G447" i="9"/>
  <c r="I446" i="9"/>
  <c r="H445" i="9"/>
  <c r="G445" i="9"/>
  <c r="F445" i="9"/>
  <c r="F443" i="9"/>
  <c r="H443" i="9"/>
  <c r="G443" i="9"/>
  <c r="I441" i="9"/>
  <c r="H441" i="9"/>
  <c r="G441" i="9"/>
  <c r="F441" i="9"/>
  <c r="I440" i="9"/>
  <c r="H439" i="9"/>
  <c r="G439" i="9"/>
  <c r="F439" i="9"/>
  <c r="I438" i="9"/>
  <c r="H437" i="9"/>
  <c r="G437" i="9"/>
  <c r="F437" i="9"/>
  <c r="I430" i="9"/>
  <c r="H430" i="9"/>
  <c r="H429" i="9" s="1"/>
  <c r="G430" i="9"/>
  <c r="G429" i="9" s="1"/>
  <c r="F430" i="9"/>
  <c r="F429" i="9" s="1"/>
  <c r="I426" i="9"/>
  <c r="E426" i="9" s="1"/>
  <c r="H426" i="9"/>
  <c r="G426" i="9"/>
  <c r="F426" i="9"/>
  <c r="I423" i="9"/>
  <c r="H423" i="9"/>
  <c r="G423" i="9"/>
  <c r="F423" i="9"/>
  <c r="H420" i="9"/>
  <c r="G420" i="9"/>
  <c r="F420" i="9"/>
  <c r="I415" i="9"/>
  <c r="H415" i="9"/>
  <c r="G415" i="9"/>
  <c r="F415" i="9"/>
  <c r="I413" i="9"/>
  <c r="H413" i="9"/>
  <c r="G413" i="9"/>
  <c r="F413" i="9"/>
  <c r="I410" i="9"/>
  <c r="H410" i="9"/>
  <c r="G410" i="9"/>
  <c r="F410" i="9"/>
  <c r="I408" i="9"/>
  <c r="H408" i="9"/>
  <c r="G408" i="9"/>
  <c r="F408" i="9"/>
  <c r="F407" i="9"/>
  <c r="F406" i="9" s="1"/>
  <c r="I406" i="9"/>
  <c r="H406" i="9"/>
  <c r="G406" i="9"/>
  <c r="I403" i="9"/>
  <c r="H403" i="9"/>
  <c r="I401" i="9"/>
  <c r="H397" i="9"/>
  <c r="G397" i="9"/>
  <c r="F397" i="9"/>
  <c r="I395" i="9"/>
  <c r="H395" i="9"/>
  <c r="G395" i="9"/>
  <c r="F395" i="9"/>
  <c r="I394" i="9"/>
  <c r="H393" i="9"/>
  <c r="G393" i="9"/>
  <c r="F393" i="9"/>
  <c r="I391" i="9"/>
  <c r="H391" i="9"/>
  <c r="G391" i="9"/>
  <c r="F391" i="9"/>
  <c r="H389" i="9"/>
  <c r="G389" i="9"/>
  <c r="F389" i="9"/>
  <c r="I386" i="9"/>
  <c r="E386" i="9" s="1"/>
  <c r="I385" i="9"/>
  <c r="H384" i="9"/>
  <c r="G384" i="9"/>
  <c r="F384" i="9"/>
  <c r="I383" i="9"/>
  <c r="H382" i="9"/>
  <c r="G382" i="9"/>
  <c r="F382" i="9"/>
  <c r="I379" i="9"/>
  <c r="E379" i="9" s="1"/>
  <c r="H379" i="9"/>
  <c r="G379" i="9"/>
  <c r="F379" i="9"/>
  <c r="H377" i="9"/>
  <c r="G377" i="9"/>
  <c r="F377" i="9"/>
  <c r="H375" i="9"/>
  <c r="G375" i="9"/>
  <c r="F375" i="9"/>
  <c r="I373" i="9"/>
  <c r="I372" i="9"/>
  <c r="E372" i="9" s="1"/>
  <c r="H371" i="9"/>
  <c r="G371" i="9"/>
  <c r="F371" i="9"/>
  <c r="I370" i="9"/>
  <c r="E370" i="9" s="1"/>
  <c r="H369" i="9"/>
  <c r="G369" i="9"/>
  <c r="F369" i="9"/>
  <c r="I368" i="9"/>
  <c r="E368" i="9" s="1"/>
  <c r="I367" i="9"/>
  <c r="H366" i="9"/>
  <c r="G366" i="9"/>
  <c r="F366" i="9"/>
  <c r="I365" i="9"/>
  <c r="H364" i="9"/>
  <c r="G364" i="9"/>
  <c r="F364" i="9"/>
  <c r="I363" i="9"/>
  <c r="H362" i="9"/>
  <c r="G362" i="9"/>
  <c r="F362" i="9"/>
  <c r="I361" i="9"/>
  <c r="E361" i="9" s="1"/>
  <c r="I360" i="9"/>
  <c r="E360" i="9" s="1"/>
  <c r="H357" i="9"/>
  <c r="G357" i="9"/>
  <c r="F357" i="9"/>
  <c r="F352" i="9"/>
  <c r="I352" i="9"/>
  <c r="H352" i="9"/>
  <c r="G352" i="9"/>
  <c r="I351" i="9"/>
  <c r="F351" i="9"/>
  <c r="F350" i="9" s="1"/>
  <c r="H350" i="9"/>
  <c r="G350" i="9"/>
  <c r="I349" i="9"/>
  <c r="E349" i="9" s="1"/>
  <c r="F349" i="9"/>
  <c r="F348" i="9" s="1"/>
  <c r="H348" i="9"/>
  <c r="G348" i="9"/>
  <c r="I347" i="9"/>
  <c r="F347" i="9"/>
  <c r="H346" i="9"/>
  <c r="G346" i="9"/>
  <c r="I343" i="9"/>
  <c r="E343" i="9" s="1"/>
  <c r="G343" i="9"/>
  <c r="H340" i="9"/>
  <c r="G340" i="9"/>
  <c r="F340" i="9"/>
  <c r="H336" i="9"/>
  <c r="G336" i="9"/>
  <c r="F336" i="9"/>
  <c r="F335" i="9"/>
  <c r="F334" i="9"/>
  <c r="F333" i="9"/>
  <c r="I330" i="9"/>
  <c r="F330" i="9"/>
  <c r="H329" i="9"/>
  <c r="G329" i="9"/>
  <c r="I328" i="9"/>
  <c r="H327" i="9"/>
  <c r="G327" i="9"/>
  <c r="F327" i="9"/>
  <c r="I326" i="9"/>
  <c r="H325" i="9"/>
  <c r="G325" i="9"/>
  <c r="F325" i="9"/>
  <c r="H323" i="9"/>
  <c r="G323" i="9"/>
  <c r="F323" i="9"/>
  <c r="I321" i="9"/>
  <c r="H321" i="9"/>
  <c r="G321" i="9"/>
  <c r="F321" i="9"/>
  <c r="H317" i="9"/>
  <c r="H316" i="9" s="1"/>
  <c r="G317" i="9"/>
  <c r="G316" i="9" s="1"/>
  <c r="F317" i="9"/>
  <c r="F316" i="9" s="1"/>
  <c r="F315" i="9"/>
  <c r="F312" i="9" s="1"/>
  <c r="I312" i="9"/>
  <c r="H312" i="9"/>
  <c r="G312" i="9"/>
  <c r="I309" i="9"/>
  <c r="H307" i="9"/>
  <c r="H304" i="9"/>
  <c r="F304" i="9"/>
  <c r="G304" i="9" s="1"/>
  <c r="G302" i="9"/>
  <c r="H302" i="9"/>
  <c r="F302" i="9"/>
  <c r="G300" i="9"/>
  <c r="H300" i="9"/>
  <c r="F300" i="9"/>
  <c r="I299" i="9"/>
  <c r="G298" i="9"/>
  <c r="H298" i="9"/>
  <c r="F298" i="9"/>
  <c r="I297" i="9"/>
  <c r="I296" i="9"/>
  <c r="E296" i="9" s="1"/>
  <c r="F294" i="9"/>
  <c r="G294" i="9" s="1"/>
  <c r="I292" i="9"/>
  <c r="I290" i="9"/>
  <c r="H288" i="9"/>
  <c r="G288" i="9"/>
  <c r="F288" i="9"/>
  <c r="I286" i="9"/>
  <c r="E286" i="9" s="1"/>
  <c r="H286" i="9"/>
  <c r="G286" i="9"/>
  <c r="F286" i="9"/>
  <c r="I283" i="9"/>
  <c r="I266" i="9"/>
  <c r="E266" i="9" s="1"/>
  <c r="E263" i="9" s="1"/>
  <c r="H266" i="9"/>
  <c r="G266" i="9"/>
  <c r="F266" i="9"/>
  <c r="F264" i="9"/>
  <c r="I264" i="9"/>
  <c r="H264" i="9"/>
  <c r="G264" i="9"/>
  <c r="H261" i="9"/>
  <c r="I260" i="9"/>
  <c r="E260" i="9" s="1"/>
  <c r="G260" i="9"/>
  <c r="F260" i="9"/>
  <c r="H258" i="9"/>
  <c r="G258" i="9"/>
  <c r="F258" i="9"/>
  <c r="I257" i="9"/>
  <c r="E257" i="9" s="1"/>
  <c r="H256" i="9"/>
  <c r="G256" i="9"/>
  <c r="F256" i="9"/>
  <c r="I253" i="9"/>
  <c r="I252" i="9"/>
  <c r="F252" i="9"/>
  <c r="F251" i="9" s="1"/>
  <c r="I249" i="9"/>
  <c r="G238" i="9"/>
  <c r="G237" i="9"/>
  <c r="F237" i="9"/>
  <c r="F235" i="9" s="1"/>
  <c r="I234" i="9"/>
  <c r="E234" i="9" s="1"/>
  <c r="I233" i="9"/>
  <c r="H232" i="9"/>
  <c r="G232" i="9"/>
  <c r="F232" i="9"/>
  <c r="I231" i="9"/>
  <c r="H230" i="9"/>
  <c r="G230" i="9"/>
  <c r="F230" i="9"/>
  <c r="I229" i="9"/>
  <c r="I228" i="9"/>
  <c r="E228" i="9" s="1"/>
  <c r="H227" i="9"/>
  <c r="G227" i="9"/>
  <c r="F227" i="9"/>
  <c r="F225" i="9"/>
  <c r="I225" i="9"/>
  <c r="H225" i="9"/>
  <c r="G225" i="9"/>
  <c r="I224" i="9"/>
  <c r="H223" i="9"/>
  <c r="G223" i="9"/>
  <c r="F223" i="9"/>
  <c r="I221" i="9"/>
  <c r="I219" i="9"/>
  <c r="I218" i="9"/>
  <c r="E218" i="9" s="1"/>
  <c r="F218" i="9"/>
  <c r="F216" i="9" s="1"/>
  <c r="I217" i="9"/>
  <c r="E217" i="9" s="1"/>
  <c r="H216" i="9"/>
  <c r="G216" i="9"/>
  <c r="I215" i="9"/>
  <c r="E215" i="9" s="1"/>
  <c r="I214" i="9"/>
  <c r="E214" i="9" s="1"/>
  <c r="H213" i="9"/>
  <c r="G213" i="9"/>
  <c r="F213" i="9"/>
  <c r="I212" i="9"/>
  <c r="E212" i="9" s="1"/>
  <c r="I211" i="9"/>
  <c r="H210" i="9"/>
  <c r="G210" i="9"/>
  <c r="F210" i="9"/>
  <c r="I209" i="9"/>
  <c r="I208" i="9"/>
  <c r="E208" i="9" s="1"/>
  <c r="H207" i="9"/>
  <c r="G207" i="9"/>
  <c r="F207" i="9"/>
  <c r="I206" i="9"/>
  <c r="F206" i="9"/>
  <c r="F204" i="9" s="1"/>
  <c r="I205" i="9"/>
  <c r="E205" i="9" s="1"/>
  <c r="H204" i="9"/>
  <c r="G204" i="9"/>
  <c r="I201" i="9"/>
  <c r="H201" i="9"/>
  <c r="G201" i="9"/>
  <c r="F201" i="9"/>
  <c r="I200" i="9"/>
  <c r="E200" i="9" s="1"/>
  <c r="F200" i="9"/>
  <c r="H198" i="9"/>
  <c r="E197" i="9"/>
  <c r="F197" i="9"/>
  <c r="H195" i="9"/>
  <c r="G195" i="9"/>
  <c r="F193" i="9"/>
  <c r="I191" i="9"/>
  <c r="E191" i="9" s="1"/>
  <c r="F191" i="9"/>
  <c r="F189" i="9" s="1"/>
  <c r="I190" i="9"/>
  <c r="H189" i="9"/>
  <c r="G189" i="9"/>
  <c r="I188" i="9"/>
  <c r="E188" i="9" s="1"/>
  <c r="I187" i="9"/>
  <c r="E187" i="9" s="1"/>
  <c r="H186" i="9"/>
  <c r="G186" i="9"/>
  <c r="F186" i="9"/>
  <c r="I185" i="9"/>
  <c r="E185" i="9" s="1"/>
  <c r="F185" i="9"/>
  <c r="F183" i="9" s="1"/>
  <c r="I184" i="9"/>
  <c r="I183" i="9" s="1"/>
  <c r="H183" i="9"/>
  <c r="F180" i="9"/>
  <c r="I181" i="9"/>
  <c r="E181" i="9" s="1"/>
  <c r="H180" i="9"/>
  <c r="G180" i="9"/>
  <c r="I179" i="9"/>
  <c r="E179" i="9" s="1"/>
  <c r="F179" i="9"/>
  <c r="F177" i="9" s="1"/>
  <c r="I178" i="9"/>
  <c r="H177" i="9"/>
  <c r="G177" i="9"/>
  <c r="I176" i="9"/>
  <c r="E176" i="9" s="1"/>
  <c r="F176" i="9"/>
  <c r="F174" i="9" s="1"/>
  <c r="I175" i="9"/>
  <c r="H174" i="9"/>
  <c r="G174" i="9"/>
  <c r="I170" i="9"/>
  <c r="E170" i="9" s="1"/>
  <c r="G170" i="9"/>
  <c r="F170" i="9"/>
  <c r="F169" i="9" s="1"/>
  <c r="H169" i="9"/>
  <c r="I168" i="9"/>
  <c r="H167" i="9"/>
  <c r="G167" i="9"/>
  <c r="F167" i="9"/>
  <c r="I166" i="9"/>
  <c r="E166" i="9" s="1"/>
  <c r="H165" i="9"/>
  <c r="G165" i="9"/>
  <c r="F165" i="9"/>
  <c r="I164" i="9"/>
  <c r="E164" i="9" s="1"/>
  <c r="F164" i="9"/>
  <c r="I163" i="9"/>
  <c r="E163" i="9" s="1"/>
  <c r="F163" i="9"/>
  <c r="H162" i="9"/>
  <c r="G162" i="9"/>
  <c r="I161" i="9"/>
  <c r="E161" i="9" s="1"/>
  <c r="I160" i="9"/>
  <c r="E160" i="9" s="1"/>
  <c r="H159" i="9"/>
  <c r="G159" i="9"/>
  <c r="F159" i="9"/>
  <c r="I158" i="9"/>
  <c r="H157" i="9"/>
  <c r="G157" i="9"/>
  <c r="F157" i="9"/>
  <c r="I156" i="9"/>
  <c r="F156" i="9"/>
  <c r="H154" i="9"/>
  <c r="G154" i="9"/>
  <c r="H151" i="9"/>
  <c r="G151" i="9"/>
  <c r="F151" i="9"/>
  <c r="I150" i="9"/>
  <c r="E150" i="9" s="1"/>
  <c r="I149" i="9"/>
  <c r="E149" i="9" s="1"/>
  <c r="H148" i="9"/>
  <c r="G148" i="9"/>
  <c r="F148" i="9"/>
  <c r="I147" i="9"/>
  <c r="I146" i="9"/>
  <c r="H145" i="9"/>
  <c r="G145" i="9"/>
  <c r="F145" i="9"/>
  <c r="I143" i="9"/>
  <c r="I142" i="9"/>
  <c r="E142" i="9" s="1"/>
  <c r="I140" i="9"/>
  <c r="E140" i="9" s="1"/>
  <c r="I138" i="9"/>
  <c r="E138" i="9" s="1"/>
  <c r="H137" i="9"/>
  <c r="G137" i="9"/>
  <c r="F137" i="9"/>
  <c r="I136" i="9"/>
  <c r="E136" i="9" s="1"/>
  <c r="F136" i="9"/>
  <c r="F135" i="9" s="1"/>
  <c r="G135" i="9"/>
  <c r="H133" i="9"/>
  <c r="G133" i="9"/>
  <c r="F133" i="9"/>
  <c r="I132" i="9"/>
  <c r="F132" i="9"/>
  <c r="F131" i="9" s="1"/>
  <c r="H131" i="9"/>
  <c r="G131" i="9"/>
  <c r="I126" i="9"/>
  <c r="H112" i="9"/>
  <c r="I123" i="9"/>
  <c r="I121" i="9"/>
  <c r="I119" i="9"/>
  <c r="F117" i="9"/>
  <c r="I111" i="9"/>
  <c r="I110" i="9"/>
  <c r="I69" i="9"/>
  <c r="H68" i="9"/>
  <c r="G68" i="9"/>
  <c r="F68" i="9"/>
  <c r="F67" i="9"/>
  <c r="F64" i="9" s="1"/>
  <c r="I65" i="9"/>
  <c r="I64" i="9" s="1"/>
  <c r="I62" i="9"/>
  <c r="H61" i="9"/>
  <c r="G61" i="9"/>
  <c r="F61" i="9"/>
  <c r="I60" i="9"/>
  <c r="E60" i="9" s="1"/>
  <c r="G60" i="9"/>
  <c r="F60" i="9"/>
  <c r="F58" i="9" s="1"/>
  <c r="H58" i="9"/>
  <c r="I56" i="9"/>
  <c r="H55" i="9"/>
  <c r="G55" i="9"/>
  <c r="F55" i="9"/>
  <c r="I46" i="9"/>
  <c r="H46" i="9"/>
  <c r="G46" i="9"/>
  <c r="F46" i="9"/>
  <c r="I39" i="9"/>
  <c r="I21" i="9"/>
  <c r="I15" i="9" s="1"/>
  <c r="I14" i="9" s="1"/>
  <c r="H21" i="9"/>
  <c r="G21" i="9"/>
  <c r="F21" i="9"/>
  <c r="F15" i="9" s="1"/>
  <c r="G18" i="9"/>
  <c r="G15" i="9" l="1"/>
  <c r="G14" i="9" s="1"/>
  <c r="F464" i="9"/>
  <c r="E147" i="9"/>
  <c r="F436" i="9"/>
  <c r="F435" i="9" s="1"/>
  <c r="G464" i="9"/>
  <c r="H388" i="9"/>
  <c r="G436" i="9"/>
  <c r="G435" i="9" s="1"/>
  <c r="H464" i="9"/>
  <c r="E309" i="9"/>
  <c r="I308" i="9"/>
  <c r="H436" i="9"/>
  <c r="H435" i="9" s="1"/>
  <c r="H405" i="9"/>
  <c r="H15" i="9"/>
  <c r="H14" i="9" s="1"/>
  <c r="F405" i="9"/>
  <c r="G405" i="9"/>
  <c r="I405" i="9"/>
  <c r="F388" i="9"/>
  <c r="G388" i="9"/>
  <c r="G307" i="9"/>
  <c r="H260" i="9"/>
  <c r="H458" i="9"/>
  <c r="H457" i="9"/>
  <c r="I457" i="9"/>
  <c r="I458" i="9"/>
  <c r="G458" i="9"/>
  <c r="G457" i="9"/>
  <c r="G235" i="9"/>
  <c r="G51" i="9"/>
  <c r="G48" i="9"/>
  <c r="G45" i="9" s="1"/>
  <c r="I38" i="9"/>
  <c r="I33" i="9" s="1"/>
  <c r="I251" i="9"/>
  <c r="I125" i="9"/>
  <c r="I108" i="9"/>
  <c r="H255" i="9"/>
  <c r="G255" i="9"/>
  <c r="G250" i="9" s="1"/>
  <c r="H295" i="9"/>
  <c r="F255" i="9"/>
  <c r="F250" i="9" s="1"/>
  <c r="G295" i="9"/>
  <c r="F295" i="9"/>
  <c r="H57" i="9"/>
  <c r="F57" i="9"/>
  <c r="F45" i="9"/>
  <c r="H45" i="9"/>
  <c r="E48" i="9"/>
  <c r="G332" i="9"/>
  <c r="H332" i="9"/>
  <c r="G345" i="9"/>
  <c r="H374" i="9"/>
  <c r="E359" i="9"/>
  <c r="G222" i="9"/>
  <c r="G422" i="9"/>
  <c r="G63" i="9"/>
  <c r="I375" i="9"/>
  <c r="I397" i="9"/>
  <c r="F63" i="9"/>
  <c r="I449" i="9"/>
  <c r="I437" i="9"/>
  <c r="I137" i="9"/>
  <c r="I154" i="9"/>
  <c r="E156" i="9"/>
  <c r="I167" i="9"/>
  <c r="E168" i="9"/>
  <c r="E224" i="9"/>
  <c r="I258" i="9"/>
  <c r="G356" i="9"/>
  <c r="I364" i="9"/>
  <c r="E364" i="9" s="1"/>
  <c r="E365" i="9"/>
  <c r="H381" i="9"/>
  <c r="G58" i="9"/>
  <c r="H63" i="9"/>
  <c r="G73" i="9"/>
  <c r="I131" i="9"/>
  <c r="E132" i="9"/>
  <c r="I177" i="9"/>
  <c r="E178" i="9"/>
  <c r="G194" i="9"/>
  <c r="I377" i="9"/>
  <c r="E378" i="9"/>
  <c r="I384" i="9"/>
  <c r="E384" i="9" s="1"/>
  <c r="E385" i="9"/>
  <c r="E64" i="9"/>
  <c r="I207" i="9"/>
  <c r="E209" i="9"/>
  <c r="H222" i="9"/>
  <c r="I230" i="9"/>
  <c r="E230" i="9" s="1"/>
  <c r="I317" i="9"/>
  <c r="I325" i="9"/>
  <c r="E326" i="9"/>
  <c r="I350" i="9"/>
  <c r="E350" i="9" s="1"/>
  <c r="E351" i="9"/>
  <c r="I445" i="9"/>
  <c r="I302" i="9"/>
  <c r="I371" i="9"/>
  <c r="E371" i="9" s="1"/>
  <c r="E373" i="9"/>
  <c r="I393" i="9"/>
  <c r="I439" i="9"/>
  <c r="I451" i="9"/>
  <c r="I340" i="9"/>
  <c r="E340" i="9" s="1"/>
  <c r="I157" i="9"/>
  <c r="E158" i="9"/>
  <c r="I366" i="9"/>
  <c r="E366" i="9" s="1"/>
  <c r="E367" i="9"/>
  <c r="I300" i="9"/>
  <c r="I133" i="9"/>
  <c r="I288" i="9"/>
  <c r="E288" i="9" s="1"/>
  <c r="E262" i="9" s="1"/>
  <c r="H320" i="9"/>
  <c r="I346" i="9"/>
  <c r="E347" i="9"/>
  <c r="I447" i="9"/>
  <c r="I151" i="9"/>
  <c r="I180" i="9"/>
  <c r="I210" i="9"/>
  <c r="E211" i="9"/>
  <c r="H291" i="9"/>
  <c r="I298" i="9"/>
  <c r="I327" i="9"/>
  <c r="E328" i="9"/>
  <c r="G374" i="9"/>
  <c r="I389" i="9"/>
  <c r="E184" i="9"/>
  <c r="I165" i="9"/>
  <c r="I256" i="9"/>
  <c r="I336" i="9"/>
  <c r="E336" i="9" s="1"/>
  <c r="G381" i="9"/>
  <c r="F422" i="9"/>
  <c r="I429" i="9"/>
  <c r="E146" i="9"/>
  <c r="I174" i="9"/>
  <c r="E175" i="9"/>
  <c r="I227" i="9"/>
  <c r="E251" i="9"/>
  <c r="I348" i="9"/>
  <c r="E348" i="9" s="1"/>
  <c r="I362" i="9"/>
  <c r="E362" i="9" s="1"/>
  <c r="E363" i="9"/>
  <c r="I189" i="9"/>
  <c r="E190" i="9"/>
  <c r="I204" i="9"/>
  <c r="E206" i="9"/>
  <c r="I304" i="9"/>
  <c r="I369" i="9"/>
  <c r="E369" i="9" s="1"/>
  <c r="I382" i="9"/>
  <c r="E382" i="9" s="1"/>
  <c r="E383" i="9"/>
  <c r="I61" i="9"/>
  <c r="E61" i="9" s="1"/>
  <c r="E57" i="9" s="1"/>
  <c r="E62" i="9"/>
  <c r="I323" i="9"/>
  <c r="I329" i="9"/>
  <c r="I422" i="9"/>
  <c r="E422" i="9" s="1"/>
  <c r="E387" i="9" s="1"/>
  <c r="E423" i="9"/>
  <c r="I186" i="9"/>
  <c r="I216" i="9"/>
  <c r="I162" i="9"/>
  <c r="G263" i="9"/>
  <c r="H173" i="9"/>
  <c r="I195" i="9"/>
  <c r="I148" i="9"/>
  <c r="I159" i="9"/>
  <c r="I169" i="9"/>
  <c r="I213" i="9"/>
  <c r="H263" i="9"/>
  <c r="G320" i="9"/>
  <c r="I460" i="9"/>
  <c r="G130" i="9"/>
  <c r="H194" i="9"/>
  <c r="H345" i="9"/>
  <c r="F374" i="9"/>
  <c r="H422" i="9"/>
  <c r="H130" i="9"/>
  <c r="F130" i="9"/>
  <c r="G173" i="9"/>
  <c r="I198" i="9"/>
  <c r="I223" i="9"/>
  <c r="I357" i="9"/>
  <c r="I105" i="7"/>
  <c r="H73" i="9"/>
  <c r="H144" i="9"/>
  <c r="F332" i="9"/>
  <c r="F195" i="9"/>
  <c r="F198" i="9"/>
  <c r="F162" i="9"/>
  <c r="F154" i="9"/>
  <c r="F477" i="9"/>
  <c r="G477" i="9"/>
  <c r="F263" i="9"/>
  <c r="F173" i="9"/>
  <c r="I58" i="9"/>
  <c r="G169" i="9"/>
  <c r="F222" i="9"/>
  <c r="F356" i="9"/>
  <c r="G460" i="9"/>
  <c r="F460" i="9"/>
  <c r="F14" i="9"/>
  <c r="I55" i="9"/>
  <c r="H356" i="9"/>
  <c r="E477" i="9"/>
  <c r="G291" i="9"/>
  <c r="I291" i="9"/>
  <c r="F381" i="9"/>
  <c r="I68" i="9"/>
  <c r="I145" i="9"/>
  <c r="F307" i="9"/>
  <c r="F329" i="9"/>
  <c r="F346" i="9"/>
  <c r="F345" i="9" s="1"/>
  <c r="I232" i="9"/>
  <c r="E232" i="9" s="1"/>
  <c r="D679" i="7"/>
  <c r="G369" i="7"/>
  <c r="H369" i="7"/>
  <c r="I369" i="7"/>
  <c r="J369" i="7"/>
  <c r="F369" i="7"/>
  <c r="E346" i="9" l="1"/>
  <c r="I345" i="9"/>
  <c r="H306" i="9"/>
  <c r="I436" i="9"/>
  <c r="I464" i="9"/>
  <c r="I388" i="9"/>
  <c r="H250" i="9"/>
  <c r="E457" i="9"/>
  <c r="E458" i="9"/>
  <c r="I435" i="9"/>
  <c r="I295" i="9"/>
  <c r="E255" i="9"/>
  <c r="E250" i="9" s="1"/>
  <c r="I255" i="9"/>
  <c r="I250" i="9" s="1"/>
  <c r="E112" i="9"/>
  <c r="I112" i="9"/>
  <c r="I57" i="9"/>
  <c r="I45" i="9"/>
  <c r="G57" i="9"/>
  <c r="E34" i="9"/>
  <c r="I381" i="9"/>
  <c r="E381" i="9" s="1"/>
  <c r="G306" i="9"/>
  <c r="I320" i="9"/>
  <c r="G344" i="9"/>
  <c r="I307" i="9"/>
  <c r="I130" i="9"/>
  <c r="G262" i="9"/>
  <c r="F144" i="9"/>
  <c r="I222" i="9"/>
  <c r="I263" i="9"/>
  <c r="I173" i="9"/>
  <c r="H344" i="9"/>
  <c r="E460" i="9"/>
  <c r="I63" i="9"/>
  <c r="E68" i="9"/>
  <c r="E63" i="9" s="1"/>
  <c r="I356" i="9"/>
  <c r="F194" i="9"/>
  <c r="I332" i="9"/>
  <c r="E55" i="9"/>
  <c r="E45" i="9" s="1"/>
  <c r="F291" i="9"/>
  <c r="F262" i="9" s="1"/>
  <c r="H262" i="9"/>
  <c r="I316" i="9"/>
  <c r="I374" i="9"/>
  <c r="E377" i="9"/>
  <c r="H129" i="9"/>
  <c r="I194" i="9"/>
  <c r="I144" i="9"/>
  <c r="H387" i="9"/>
  <c r="F73" i="9"/>
  <c r="F387" i="9"/>
  <c r="G387" i="9"/>
  <c r="F320" i="9"/>
  <c r="F306" i="9" s="1"/>
  <c r="G144" i="9"/>
  <c r="G129" i="9" s="1"/>
  <c r="F344" i="9"/>
  <c r="J15" i="4"/>
  <c r="J490" i="7"/>
  <c r="J170" i="7"/>
  <c r="G345" i="7"/>
  <c r="H345" i="7"/>
  <c r="I306" i="9" l="1"/>
  <c r="E465" i="9"/>
  <c r="I235" i="9"/>
  <c r="I129" i="9" s="1"/>
  <c r="E238" i="9"/>
  <c r="E235" i="9" s="1"/>
  <c r="E33" i="9"/>
  <c r="G455" i="9"/>
  <c r="G463" i="9" s="1"/>
  <c r="H455" i="9"/>
  <c r="H463" i="9" s="1"/>
  <c r="E194" i="9"/>
  <c r="F129" i="9"/>
  <c r="I387" i="9"/>
  <c r="I262" i="9"/>
  <c r="I344" i="9"/>
  <c r="I170" i="7"/>
  <c r="I73" i="9"/>
  <c r="E441" i="7"/>
  <c r="E440" i="7" s="1"/>
  <c r="F441" i="7"/>
  <c r="F440" i="7" s="1"/>
  <c r="G441" i="7"/>
  <c r="G440" i="7" s="1"/>
  <c r="H441" i="7"/>
  <c r="H440" i="7" s="1"/>
  <c r="I440" i="7"/>
  <c r="J440" i="7"/>
  <c r="F400" i="7"/>
  <c r="F399" i="7" s="1"/>
  <c r="G400" i="7"/>
  <c r="G399" i="7" s="1"/>
  <c r="H400" i="7"/>
  <c r="H399" i="7" s="1"/>
  <c r="I400" i="7"/>
  <c r="I399" i="7" s="1"/>
  <c r="J400" i="7"/>
  <c r="J399" i="7" s="1"/>
  <c r="F607" i="7"/>
  <c r="G607" i="7"/>
  <c r="H607" i="7"/>
  <c r="I607" i="7"/>
  <c r="J607" i="7"/>
  <c r="F578" i="7"/>
  <c r="F484" i="7"/>
  <c r="F483" i="7" s="1"/>
  <c r="G484" i="7"/>
  <c r="G483" i="7" s="1"/>
  <c r="H484" i="7"/>
  <c r="H483" i="7" s="1"/>
  <c r="I483" i="7"/>
  <c r="J483" i="7"/>
  <c r="E484" i="7"/>
  <c r="E369" i="7"/>
  <c r="E371" i="7"/>
  <c r="F319" i="7"/>
  <c r="G319" i="7"/>
  <c r="H319" i="7"/>
  <c r="I319" i="7"/>
  <c r="J319" i="7"/>
  <c r="E319" i="7"/>
  <c r="F266" i="7"/>
  <c r="G266" i="7"/>
  <c r="H266" i="7"/>
  <c r="I266" i="7"/>
  <c r="J266" i="7"/>
  <c r="F41" i="7"/>
  <c r="F40" i="7" s="1"/>
  <c r="J41" i="7"/>
  <c r="J40" i="7" s="1"/>
  <c r="I41" i="7"/>
  <c r="I40" i="7" s="1"/>
  <c r="H41" i="7"/>
  <c r="H40" i="7" s="1"/>
  <c r="G41" i="7"/>
  <c r="G40" i="7" s="1"/>
  <c r="E129" i="9" l="1"/>
  <c r="E455" i="9" s="1"/>
  <c r="I455" i="9"/>
  <c r="F455" i="9"/>
  <c r="E473" i="9"/>
  <c r="F345" i="7"/>
  <c r="E515" i="7"/>
  <c r="E400" i="7"/>
  <c r="E399" i="7" s="1"/>
  <c r="E607" i="7"/>
  <c r="E577" i="7"/>
  <c r="E576" i="7" s="1"/>
  <c r="E483" i="7"/>
  <c r="E266" i="7"/>
  <c r="E41" i="7"/>
  <c r="E40" i="7" s="1"/>
  <c r="F504" i="7"/>
  <c r="G504" i="7"/>
  <c r="H504" i="7"/>
  <c r="I504" i="7"/>
  <c r="J504" i="7"/>
  <c r="J491" i="7"/>
  <c r="I463" i="9" l="1"/>
  <c r="F463" i="9"/>
  <c r="E476" i="9"/>
  <c r="I345" i="7"/>
  <c r="J345" i="7"/>
  <c r="G632" i="7"/>
  <c r="H632" i="7"/>
  <c r="I632" i="7"/>
  <c r="F457" i="7"/>
  <c r="I27" i="7"/>
  <c r="G128" i="7"/>
  <c r="H128" i="7"/>
  <c r="I128" i="7"/>
  <c r="J128" i="7"/>
  <c r="I462" i="9" l="1"/>
  <c r="F462" i="9"/>
  <c r="F465" i="9" s="1"/>
  <c r="F473" i="9"/>
  <c r="J539" i="7"/>
  <c r="I500" i="7"/>
  <c r="G523" i="7"/>
  <c r="G680" i="7" s="1"/>
  <c r="H523" i="7"/>
  <c r="H680" i="7" s="1"/>
  <c r="I195" i="7"/>
  <c r="G603" i="7"/>
  <c r="H603" i="7"/>
  <c r="I603" i="7"/>
  <c r="J603" i="7"/>
  <c r="J577" i="7"/>
  <c r="J576" i="7" s="1"/>
  <c r="G577" i="7"/>
  <c r="G576" i="7" s="1"/>
  <c r="H577" i="7"/>
  <c r="H576" i="7" s="1"/>
  <c r="I577" i="7"/>
  <c r="I576" i="7" s="1"/>
  <c r="F479" i="7"/>
  <c r="G479" i="7"/>
  <c r="H479" i="7"/>
  <c r="I479" i="7"/>
  <c r="J479" i="7"/>
  <c r="F614" i="7"/>
  <c r="F612" i="7" s="1"/>
  <c r="G614" i="7"/>
  <c r="G612" i="7" s="1"/>
  <c r="H614" i="7"/>
  <c r="H612" i="7" s="1"/>
  <c r="I614" i="7"/>
  <c r="I612" i="7" s="1"/>
  <c r="J614" i="7"/>
  <c r="J612" i="7" s="1"/>
  <c r="I342" i="7"/>
  <c r="I309" i="7"/>
  <c r="I507" i="7"/>
  <c r="I528" i="7"/>
  <c r="I494" i="7"/>
  <c r="F494" i="7"/>
  <c r="I325" i="7"/>
  <c r="F325" i="7"/>
  <c r="I202" i="7"/>
  <c r="F202" i="7"/>
  <c r="I178" i="7"/>
  <c r="F178" i="7"/>
  <c r="F365" i="7"/>
  <c r="I229" i="7"/>
  <c r="I183" i="7"/>
  <c r="I68" i="7"/>
  <c r="G22" i="4"/>
  <c r="G16" i="4"/>
  <c r="G15" i="4"/>
  <c r="E657" i="7"/>
  <c r="E654" i="7"/>
  <c r="E653" i="7" s="1"/>
  <c r="E644" i="7"/>
  <c r="E632" i="7"/>
  <c r="E631" i="7" s="1"/>
  <c r="F618" i="7"/>
  <c r="G618" i="7"/>
  <c r="H618" i="7"/>
  <c r="I618" i="7"/>
  <c r="J618" i="7"/>
  <c r="E618" i="7"/>
  <c r="E603" i="7"/>
  <c r="E594" i="7"/>
  <c r="J590" i="7"/>
  <c r="I590" i="7"/>
  <c r="H590" i="7"/>
  <c r="G590" i="7"/>
  <c r="F590" i="7"/>
  <c r="E572" i="7"/>
  <c r="E566" i="7"/>
  <c r="E565" i="7" s="1"/>
  <c r="F563" i="7"/>
  <c r="G563" i="7"/>
  <c r="H563" i="7"/>
  <c r="I563" i="7"/>
  <c r="J563" i="7"/>
  <c r="E563" i="7"/>
  <c r="E561" i="7"/>
  <c r="E558" i="7"/>
  <c r="E557" i="7" s="1"/>
  <c r="E543" i="7"/>
  <c r="E520" i="7"/>
  <c r="E491" i="7"/>
  <c r="E445" i="7"/>
  <c r="E444" i="7" s="1"/>
  <c r="E407" i="7"/>
  <c r="E404" i="7"/>
  <c r="E397" i="7"/>
  <c r="E396" i="7" s="1"/>
  <c r="E394" i="7"/>
  <c r="E389" i="7"/>
  <c r="E384" i="7"/>
  <c r="F380" i="7"/>
  <c r="G380" i="7"/>
  <c r="H380" i="7"/>
  <c r="I380" i="7"/>
  <c r="J380" i="7"/>
  <c r="E380" i="7"/>
  <c r="F353" i="7"/>
  <c r="F352" i="7" s="1"/>
  <c r="G353" i="7"/>
  <c r="G352" i="7" s="1"/>
  <c r="H353" i="7"/>
  <c r="H352" i="7" s="1"/>
  <c r="I353" i="7"/>
  <c r="I352" i="7" s="1"/>
  <c r="J353" i="7"/>
  <c r="J352" i="7" s="1"/>
  <c r="E353" i="7"/>
  <c r="E352" i="7" s="1"/>
  <c r="E340" i="7"/>
  <c r="E336" i="7"/>
  <c r="E335" i="7" s="1"/>
  <c r="E304" i="7"/>
  <c r="E278" i="7"/>
  <c r="E250" i="7"/>
  <c r="E223" i="7"/>
  <c r="J212" i="7"/>
  <c r="I212" i="7"/>
  <c r="H212" i="7"/>
  <c r="G212" i="7"/>
  <c r="E175" i="7"/>
  <c r="E164" i="7"/>
  <c r="E163" i="7" s="1"/>
  <c r="E162" i="7" s="1"/>
  <c r="E707" i="7" s="1"/>
  <c r="E148" i="7"/>
  <c r="E147" i="7" s="1"/>
  <c r="E123" i="7"/>
  <c r="C716" i="7"/>
  <c r="B716" i="7"/>
  <c r="A716" i="7"/>
  <c r="C715" i="7"/>
  <c r="B715" i="7"/>
  <c r="A715" i="7"/>
  <c r="C714" i="7"/>
  <c r="B714" i="7"/>
  <c r="A714" i="7"/>
  <c r="C712" i="7"/>
  <c r="B712" i="7"/>
  <c r="A712" i="7"/>
  <c r="C711" i="7"/>
  <c r="B711" i="7"/>
  <c r="A711" i="7"/>
  <c r="C710" i="7"/>
  <c r="B710" i="7"/>
  <c r="A710" i="7"/>
  <c r="C709" i="7"/>
  <c r="B709" i="7"/>
  <c r="A709" i="7"/>
  <c r="C708" i="7"/>
  <c r="B708" i="7"/>
  <c r="A708" i="7"/>
  <c r="C707" i="7"/>
  <c r="B707" i="7"/>
  <c r="A707" i="7"/>
  <c r="C706" i="7"/>
  <c r="B706" i="7"/>
  <c r="A706" i="7"/>
  <c r="C705" i="7"/>
  <c r="B705" i="7"/>
  <c r="A705" i="7"/>
  <c r="C704" i="7"/>
  <c r="B704" i="7"/>
  <c r="A704" i="7"/>
  <c r="C703" i="7"/>
  <c r="B703" i="7"/>
  <c r="A703" i="7"/>
  <c r="C702" i="7"/>
  <c r="B702" i="7"/>
  <c r="A702" i="7"/>
  <c r="C701" i="7"/>
  <c r="B701" i="7"/>
  <c r="A701" i="7"/>
  <c r="C700" i="7"/>
  <c r="B700" i="7"/>
  <c r="A700" i="7"/>
  <c r="D697" i="7"/>
  <c r="J666" i="7"/>
  <c r="I666" i="7"/>
  <c r="H666" i="7"/>
  <c r="G666" i="7"/>
  <c r="F666" i="7"/>
  <c r="J663" i="7"/>
  <c r="I663" i="7"/>
  <c r="F663" i="7"/>
  <c r="E663" i="7"/>
  <c r="J661" i="7"/>
  <c r="I661" i="7"/>
  <c r="H661" i="7"/>
  <c r="G661" i="7"/>
  <c r="F661" i="7"/>
  <c r="E661" i="7"/>
  <c r="J657" i="7"/>
  <c r="I657" i="7"/>
  <c r="H657" i="7"/>
  <c r="G657" i="7"/>
  <c r="F657" i="7"/>
  <c r="J654" i="7"/>
  <c r="J653" i="7" s="1"/>
  <c r="I654" i="7"/>
  <c r="I653" i="7" s="1"/>
  <c r="H654" i="7"/>
  <c r="H653" i="7" s="1"/>
  <c r="G654" i="7"/>
  <c r="G653" i="7" s="1"/>
  <c r="F654" i="7"/>
  <c r="F653" i="7" s="1"/>
  <c r="J647" i="7"/>
  <c r="I647" i="7"/>
  <c r="H647" i="7"/>
  <c r="G647" i="7"/>
  <c r="F647" i="7"/>
  <c r="J644" i="7"/>
  <c r="I644" i="7"/>
  <c r="H644" i="7"/>
  <c r="G644" i="7"/>
  <c r="F644" i="7"/>
  <c r="J640" i="7"/>
  <c r="I640" i="7"/>
  <c r="H640" i="7"/>
  <c r="G640" i="7"/>
  <c r="F640" i="7"/>
  <c r="E640" i="7"/>
  <c r="J638" i="7"/>
  <c r="I638" i="7"/>
  <c r="H638" i="7"/>
  <c r="G638" i="7"/>
  <c r="F638" i="7"/>
  <c r="E638" i="7"/>
  <c r="J635" i="7"/>
  <c r="J634" i="7" s="1"/>
  <c r="I635" i="7"/>
  <c r="I634" i="7" s="1"/>
  <c r="H635" i="7"/>
  <c r="H634" i="7" s="1"/>
  <c r="G635" i="7"/>
  <c r="G634" i="7" s="1"/>
  <c r="F635" i="7"/>
  <c r="F634" i="7" s="1"/>
  <c r="E635" i="7"/>
  <c r="E634" i="7" s="1"/>
  <c r="J632" i="7"/>
  <c r="J631" i="7" s="1"/>
  <c r="H631" i="7"/>
  <c r="G631" i="7"/>
  <c r="I631" i="7"/>
  <c r="J625" i="7"/>
  <c r="J624" i="7" s="1"/>
  <c r="J623" i="7" s="1"/>
  <c r="I625" i="7"/>
  <c r="I624" i="7" s="1"/>
  <c r="I623" i="7" s="1"/>
  <c r="H625" i="7"/>
  <c r="H624" i="7" s="1"/>
  <c r="H623" i="7" s="1"/>
  <c r="G625" i="7"/>
  <c r="G624" i="7" s="1"/>
  <c r="G623" i="7" s="1"/>
  <c r="F625" i="7"/>
  <c r="F624" i="7" s="1"/>
  <c r="F623" i="7" s="1"/>
  <c r="F603" i="7"/>
  <c r="J599" i="7"/>
  <c r="H599" i="7"/>
  <c r="G599" i="7"/>
  <c r="J594" i="7"/>
  <c r="I594" i="7"/>
  <c r="H594" i="7"/>
  <c r="G594" i="7"/>
  <c r="F594" i="7"/>
  <c r="H583" i="7"/>
  <c r="G583" i="7"/>
  <c r="F583" i="7"/>
  <c r="J572" i="7"/>
  <c r="I572" i="7"/>
  <c r="H572" i="7"/>
  <c r="G572" i="7"/>
  <c r="F572" i="7"/>
  <c r="J569" i="7"/>
  <c r="I569" i="7"/>
  <c r="H569" i="7"/>
  <c r="G569" i="7"/>
  <c r="F569" i="7"/>
  <c r="J566" i="7"/>
  <c r="J565" i="7" s="1"/>
  <c r="I566" i="7"/>
  <c r="I565" i="7" s="1"/>
  <c r="H566" i="7"/>
  <c r="H565" i="7" s="1"/>
  <c r="G566" i="7"/>
  <c r="G565" i="7" s="1"/>
  <c r="F566" i="7"/>
  <c r="F565" i="7" s="1"/>
  <c r="J561" i="7"/>
  <c r="J560" i="7" s="1"/>
  <c r="F561" i="7"/>
  <c r="I561" i="7"/>
  <c r="I560" i="7" s="1"/>
  <c r="H561" i="7"/>
  <c r="G561" i="7"/>
  <c r="J558" i="7"/>
  <c r="J557" i="7" s="1"/>
  <c r="I558" i="7"/>
  <c r="I557" i="7" s="1"/>
  <c r="H558" i="7"/>
  <c r="H557" i="7" s="1"/>
  <c r="G558" i="7"/>
  <c r="G557" i="7" s="1"/>
  <c r="F558" i="7"/>
  <c r="F557" i="7" s="1"/>
  <c r="J555" i="7"/>
  <c r="I555" i="7"/>
  <c r="I554" i="7" s="1"/>
  <c r="H555" i="7"/>
  <c r="H554" i="7" s="1"/>
  <c r="G555" i="7"/>
  <c r="G554" i="7" s="1"/>
  <c r="F555" i="7"/>
  <c r="F554" i="7" s="1"/>
  <c r="E555" i="7"/>
  <c r="E554" i="7" s="1"/>
  <c r="J552" i="7"/>
  <c r="J551" i="7" s="1"/>
  <c r="I552" i="7"/>
  <c r="I551" i="7" s="1"/>
  <c r="H552" i="7"/>
  <c r="G552" i="7"/>
  <c r="G551" i="7" s="1"/>
  <c r="F552" i="7"/>
  <c r="F551" i="7" s="1"/>
  <c r="E552" i="7"/>
  <c r="E551" i="7" s="1"/>
  <c r="J546" i="7"/>
  <c r="H546" i="7"/>
  <c r="G546" i="7"/>
  <c r="J543" i="7"/>
  <c r="I543" i="7"/>
  <c r="F543" i="7"/>
  <c r="I539" i="7"/>
  <c r="H539" i="7"/>
  <c r="G539" i="7"/>
  <c r="F539" i="7"/>
  <c r="J533" i="7"/>
  <c r="I533" i="7"/>
  <c r="H533" i="7"/>
  <c r="G533" i="7"/>
  <c r="F533" i="7"/>
  <c r="J528" i="7"/>
  <c r="H528" i="7"/>
  <c r="G528" i="7"/>
  <c r="J523" i="7"/>
  <c r="J680" i="7" s="1"/>
  <c r="D680" i="7"/>
  <c r="J520" i="7"/>
  <c r="I520" i="7"/>
  <c r="H520" i="7"/>
  <c r="G520" i="7"/>
  <c r="F520" i="7"/>
  <c r="J518" i="7"/>
  <c r="I518" i="7"/>
  <c r="H518" i="7"/>
  <c r="G518" i="7"/>
  <c r="F518" i="7"/>
  <c r="E518" i="7"/>
  <c r="J515" i="7"/>
  <c r="I515" i="7"/>
  <c r="H515" i="7"/>
  <c r="G515" i="7"/>
  <c r="F515" i="7"/>
  <c r="J507" i="7"/>
  <c r="H507" i="7"/>
  <c r="G507" i="7"/>
  <c r="E504" i="7"/>
  <c r="J500" i="7"/>
  <c r="H500" i="7"/>
  <c r="H499" i="7" s="1"/>
  <c r="G500" i="7"/>
  <c r="F500" i="7"/>
  <c r="J494" i="7"/>
  <c r="H494" i="7"/>
  <c r="G494" i="7"/>
  <c r="I491" i="7"/>
  <c r="H491" i="7"/>
  <c r="G491" i="7"/>
  <c r="F491" i="7"/>
  <c r="H488" i="7"/>
  <c r="H487" i="7" s="1"/>
  <c r="G488" i="7"/>
  <c r="F488" i="7"/>
  <c r="J477" i="7"/>
  <c r="I477" i="7"/>
  <c r="H477" i="7"/>
  <c r="G477" i="7"/>
  <c r="F477" i="7"/>
  <c r="E477" i="7"/>
  <c r="J474" i="7"/>
  <c r="I474" i="7"/>
  <c r="H474" i="7"/>
  <c r="G474" i="7"/>
  <c r="F474" i="7"/>
  <c r="E474" i="7"/>
  <c r="F473" i="7"/>
  <c r="F471" i="7" s="1"/>
  <c r="J471" i="7"/>
  <c r="I471" i="7"/>
  <c r="H471" i="7"/>
  <c r="G471" i="7"/>
  <c r="E471" i="7"/>
  <c r="J467" i="7"/>
  <c r="I467" i="7"/>
  <c r="G467" i="7"/>
  <c r="F467" i="7"/>
  <c r="J464" i="7"/>
  <c r="I464" i="7"/>
  <c r="H464" i="7"/>
  <c r="G464" i="7"/>
  <c r="F464" i="7"/>
  <c r="E464" i="7"/>
  <c r="J461" i="7"/>
  <c r="I461" i="7"/>
  <c r="H461" i="7"/>
  <c r="G461" i="7"/>
  <c r="F461" i="7"/>
  <c r="J455" i="7"/>
  <c r="I455" i="7"/>
  <c r="H455" i="7"/>
  <c r="G455" i="7"/>
  <c r="J451" i="7"/>
  <c r="I451" i="7"/>
  <c r="H451" i="7"/>
  <c r="G451" i="7"/>
  <c r="F451" i="7"/>
  <c r="J448" i="7"/>
  <c r="I448" i="7"/>
  <c r="H448" i="7"/>
  <c r="G448" i="7"/>
  <c r="F448" i="7"/>
  <c r="E448" i="7"/>
  <c r="J445" i="7"/>
  <c r="J444" i="7" s="1"/>
  <c r="I445" i="7"/>
  <c r="I444" i="7" s="1"/>
  <c r="H445" i="7"/>
  <c r="H444" i="7" s="1"/>
  <c r="G445" i="7"/>
  <c r="G444" i="7" s="1"/>
  <c r="J436" i="7"/>
  <c r="I436" i="7"/>
  <c r="H436" i="7"/>
  <c r="G436" i="7"/>
  <c r="F436" i="7"/>
  <c r="E436" i="7"/>
  <c r="J434" i="7"/>
  <c r="I434" i="7"/>
  <c r="H434" i="7"/>
  <c r="G434" i="7"/>
  <c r="F434" i="7"/>
  <c r="E434" i="7"/>
  <c r="J429" i="7"/>
  <c r="I429" i="7"/>
  <c r="H429" i="7"/>
  <c r="G429" i="7"/>
  <c r="F429" i="7"/>
  <c r="J426" i="7"/>
  <c r="I426" i="7"/>
  <c r="H426" i="7"/>
  <c r="G426" i="7"/>
  <c r="F426" i="7"/>
  <c r="E426" i="7"/>
  <c r="J423" i="7"/>
  <c r="I423" i="7"/>
  <c r="H423" i="7"/>
  <c r="G423" i="7"/>
  <c r="F423" i="7"/>
  <c r="E423" i="7"/>
  <c r="J419" i="7"/>
  <c r="I419" i="7"/>
  <c r="H419" i="7"/>
  <c r="G419" i="7"/>
  <c r="F419" i="7"/>
  <c r="J416" i="7"/>
  <c r="I416" i="7"/>
  <c r="H416" i="7"/>
  <c r="G416" i="7"/>
  <c r="F416" i="7"/>
  <c r="E416" i="7"/>
  <c r="F414" i="7"/>
  <c r="J409" i="7"/>
  <c r="I409" i="7"/>
  <c r="H409" i="7"/>
  <c r="G409" i="7"/>
  <c r="F409" i="7"/>
  <c r="J407" i="7"/>
  <c r="I407" i="7"/>
  <c r="H407" i="7"/>
  <c r="G407" i="7"/>
  <c r="F407" i="7"/>
  <c r="J404" i="7"/>
  <c r="I404" i="7"/>
  <c r="H404" i="7"/>
  <c r="G404" i="7"/>
  <c r="F404" i="7"/>
  <c r="J397" i="7"/>
  <c r="J396" i="7" s="1"/>
  <c r="I397" i="7"/>
  <c r="I396" i="7" s="1"/>
  <c r="G397" i="7"/>
  <c r="G396" i="7" s="1"/>
  <c r="F397" i="7"/>
  <c r="F396" i="7" s="1"/>
  <c r="H396" i="7"/>
  <c r="J394" i="7"/>
  <c r="I394" i="7"/>
  <c r="G394" i="7"/>
  <c r="F394" i="7"/>
  <c r="J392" i="7"/>
  <c r="I392" i="7"/>
  <c r="H392" i="7"/>
  <c r="H391" i="7" s="1"/>
  <c r="G392" i="7"/>
  <c r="F392" i="7"/>
  <c r="E392" i="7"/>
  <c r="J389" i="7"/>
  <c r="I389" i="7"/>
  <c r="H389" i="7"/>
  <c r="G389" i="7"/>
  <c r="F389" i="7"/>
  <c r="J387" i="7"/>
  <c r="I387" i="7"/>
  <c r="H387" i="7"/>
  <c r="G387" i="7"/>
  <c r="F387" i="7"/>
  <c r="E387" i="7"/>
  <c r="J384" i="7"/>
  <c r="I384" i="7"/>
  <c r="H384" i="7"/>
  <c r="G384" i="7"/>
  <c r="F384" i="7"/>
  <c r="J378" i="7"/>
  <c r="J355" i="7" s="1"/>
  <c r="I378" i="7"/>
  <c r="H378" i="7"/>
  <c r="G378" i="7"/>
  <c r="F378" i="7"/>
  <c r="E378" i="7"/>
  <c r="I365" i="7"/>
  <c r="I355" i="7" s="1"/>
  <c r="H365" i="7"/>
  <c r="G365" i="7"/>
  <c r="I363" i="7"/>
  <c r="H363" i="7"/>
  <c r="G363" i="7"/>
  <c r="F363" i="7"/>
  <c r="E363" i="7"/>
  <c r="I361" i="7"/>
  <c r="H361" i="7"/>
  <c r="G361" i="7"/>
  <c r="F361" i="7"/>
  <c r="E361" i="7"/>
  <c r="J349" i="7"/>
  <c r="I349" i="7"/>
  <c r="H349" i="7"/>
  <c r="G349" i="7"/>
  <c r="F349" i="7"/>
  <c r="J342" i="7"/>
  <c r="H342" i="7"/>
  <c r="J340" i="7"/>
  <c r="I340" i="7"/>
  <c r="H340" i="7"/>
  <c r="G340" i="7"/>
  <c r="F340" i="7"/>
  <c r="J336" i="7"/>
  <c r="J335" i="7" s="1"/>
  <c r="I336" i="7"/>
  <c r="I335" i="7" s="1"/>
  <c r="H336" i="7"/>
  <c r="H335" i="7" s="1"/>
  <c r="G336" i="7"/>
  <c r="G335" i="7" s="1"/>
  <c r="F336" i="7"/>
  <c r="F335" i="7" s="1"/>
  <c r="J330" i="7"/>
  <c r="I330" i="7"/>
  <c r="H330" i="7"/>
  <c r="G330" i="7"/>
  <c r="F330" i="7"/>
  <c r="J325" i="7"/>
  <c r="H325" i="7"/>
  <c r="G325" i="7"/>
  <c r="J321" i="7"/>
  <c r="I321" i="7"/>
  <c r="H321" i="7"/>
  <c r="G321" i="7"/>
  <c r="F321" i="7"/>
  <c r="J316" i="7"/>
  <c r="I316" i="7"/>
  <c r="H316" i="7"/>
  <c r="G316" i="7"/>
  <c r="F316" i="7"/>
  <c r="E316" i="7"/>
  <c r="J309" i="7"/>
  <c r="H309" i="7"/>
  <c r="G309" i="7"/>
  <c r="J307" i="7"/>
  <c r="I307" i="7"/>
  <c r="H307" i="7"/>
  <c r="G307" i="7"/>
  <c r="F307" i="7"/>
  <c r="E307" i="7"/>
  <c r="J304" i="7"/>
  <c r="I304" i="7"/>
  <c r="H304" i="7"/>
  <c r="G304" i="7"/>
  <c r="F304" i="7"/>
  <c r="J301" i="7"/>
  <c r="I301" i="7"/>
  <c r="H301" i="7"/>
  <c r="G301" i="7"/>
  <c r="F301" i="7"/>
  <c r="E301" i="7"/>
  <c r="J294" i="7"/>
  <c r="I294" i="7"/>
  <c r="H294" i="7"/>
  <c r="G294" i="7"/>
  <c r="J289" i="7"/>
  <c r="H289" i="7"/>
  <c r="G289" i="7"/>
  <c r="J284" i="7"/>
  <c r="H284" i="7"/>
  <c r="G284" i="7"/>
  <c r="J281" i="7"/>
  <c r="I281" i="7"/>
  <c r="H281" i="7"/>
  <c r="G281" i="7"/>
  <c r="F281" i="7"/>
  <c r="E281" i="7"/>
  <c r="J278" i="7"/>
  <c r="I278" i="7"/>
  <c r="H278" i="7"/>
  <c r="G278" i="7"/>
  <c r="F278" i="7"/>
  <c r="J272" i="7"/>
  <c r="I272" i="7"/>
  <c r="H272" i="7"/>
  <c r="G272" i="7"/>
  <c r="F272" i="7"/>
  <c r="J261" i="7"/>
  <c r="H261" i="7"/>
  <c r="G261" i="7"/>
  <c r="J256" i="7"/>
  <c r="H256" i="7"/>
  <c r="G256" i="7"/>
  <c r="J253" i="7"/>
  <c r="I253" i="7"/>
  <c r="H253" i="7"/>
  <c r="G253" i="7"/>
  <c r="F253" i="7"/>
  <c r="E253" i="7"/>
  <c r="J250" i="7"/>
  <c r="I250" i="7"/>
  <c r="H250" i="7"/>
  <c r="G250" i="7"/>
  <c r="F250" i="7"/>
  <c r="J245" i="7"/>
  <c r="I245" i="7"/>
  <c r="H245" i="7"/>
  <c r="G245" i="7"/>
  <c r="F245" i="7"/>
  <c r="J239" i="7"/>
  <c r="I239" i="7"/>
  <c r="H239" i="7"/>
  <c r="G239" i="7"/>
  <c r="J234" i="7"/>
  <c r="H234" i="7"/>
  <c r="G234" i="7"/>
  <c r="J229" i="7"/>
  <c r="H229" i="7"/>
  <c r="G229" i="7"/>
  <c r="J226" i="7"/>
  <c r="I226" i="7"/>
  <c r="H226" i="7"/>
  <c r="G226" i="7"/>
  <c r="F226" i="7"/>
  <c r="E226" i="7"/>
  <c r="J223" i="7"/>
  <c r="I223" i="7"/>
  <c r="H223" i="7"/>
  <c r="G223" i="7"/>
  <c r="F223" i="7"/>
  <c r="J218" i="7"/>
  <c r="I218" i="7"/>
  <c r="H218" i="7"/>
  <c r="G218" i="7"/>
  <c r="F218" i="7"/>
  <c r="J207" i="7"/>
  <c r="I207" i="7"/>
  <c r="H207" i="7"/>
  <c r="G207" i="7"/>
  <c r="F207" i="7"/>
  <c r="J202" i="7"/>
  <c r="H202" i="7"/>
  <c r="G202" i="7"/>
  <c r="J199" i="7"/>
  <c r="I199" i="7"/>
  <c r="H199" i="7"/>
  <c r="G199" i="7"/>
  <c r="F199" i="7"/>
  <c r="E199" i="7"/>
  <c r="J195" i="7"/>
  <c r="H195" i="7"/>
  <c r="G195" i="7"/>
  <c r="F195" i="7"/>
  <c r="J189" i="7"/>
  <c r="I189" i="7"/>
  <c r="H189" i="7"/>
  <c r="G189" i="7"/>
  <c r="J183" i="7"/>
  <c r="H183" i="7"/>
  <c r="G183" i="7"/>
  <c r="F183" i="7"/>
  <c r="J178" i="7"/>
  <c r="H178" i="7"/>
  <c r="G178" i="7"/>
  <c r="J175" i="7"/>
  <c r="I175" i="7"/>
  <c r="H175" i="7"/>
  <c r="G175" i="7"/>
  <c r="F175" i="7"/>
  <c r="H170" i="7"/>
  <c r="G170" i="7"/>
  <c r="F170" i="7"/>
  <c r="J168" i="7"/>
  <c r="I168" i="7"/>
  <c r="F168" i="7"/>
  <c r="E168" i="7"/>
  <c r="J164" i="7"/>
  <c r="J163" i="7" s="1"/>
  <c r="J162" i="7" s="1"/>
  <c r="J707" i="7" s="1"/>
  <c r="I164" i="7"/>
  <c r="I163" i="7" s="1"/>
  <c r="I162" i="7" s="1"/>
  <c r="I707" i="7" s="1"/>
  <c r="H164" i="7"/>
  <c r="H163" i="7" s="1"/>
  <c r="H162" i="7" s="1"/>
  <c r="H707" i="7" s="1"/>
  <c r="G164" i="7"/>
  <c r="G163" i="7" s="1"/>
  <c r="G162" i="7" s="1"/>
  <c r="G707" i="7" s="1"/>
  <c r="F164" i="7"/>
  <c r="F163" i="7" s="1"/>
  <c r="F162" i="7" s="1"/>
  <c r="F707" i="7" s="1"/>
  <c r="D707" i="7"/>
  <c r="J157" i="7"/>
  <c r="J156" i="7" s="1"/>
  <c r="I157" i="7"/>
  <c r="I156" i="7" s="1"/>
  <c r="H157" i="7"/>
  <c r="H156" i="7" s="1"/>
  <c r="G157" i="7"/>
  <c r="G156" i="7" s="1"/>
  <c r="G155" i="7" s="1"/>
  <c r="D706" i="7"/>
  <c r="J153" i="7"/>
  <c r="J152" i="7" s="1"/>
  <c r="J151" i="7" s="1"/>
  <c r="I153" i="7"/>
  <c r="I152" i="7" s="1"/>
  <c r="I151" i="7" s="1"/>
  <c r="H153" i="7"/>
  <c r="H152" i="7" s="1"/>
  <c r="H151" i="7" s="1"/>
  <c r="G153" i="7"/>
  <c r="G152" i="7" s="1"/>
  <c r="G151" i="7" s="1"/>
  <c r="F153" i="7"/>
  <c r="F152" i="7" s="1"/>
  <c r="F151" i="7" s="1"/>
  <c r="E153" i="7"/>
  <c r="E152" i="7" s="1"/>
  <c r="E151" i="7" s="1"/>
  <c r="J148" i="7"/>
  <c r="J147" i="7" s="1"/>
  <c r="I148" i="7"/>
  <c r="I147" i="7" s="1"/>
  <c r="H148" i="7"/>
  <c r="H147" i="7" s="1"/>
  <c r="G148" i="7"/>
  <c r="G147" i="7" s="1"/>
  <c r="F148" i="7"/>
  <c r="F147" i="7" s="1"/>
  <c r="J145" i="7"/>
  <c r="I145" i="7"/>
  <c r="H145" i="7"/>
  <c r="G145" i="7"/>
  <c r="F145" i="7"/>
  <c r="E145" i="7"/>
  <c r="J143" i="7"/>
  <c r="I143" i="7"/>
  <c r="H143" i="7"/>
  <c r="G143" i="7"/>
  <c r="F143" i="7"/>
  <c r="J139" i="7"/>
  <c r="I139" i="7"/>
  <c r="H139" i="7"/>
  <c r="G139" i="7"/>
  <c r="F139" i="7"/>
  <c r="J136" i="7"/>
  <c r="J135" i="7" s="1"/>
  <c r="I136" i="7"/>
  <c r="I135" i="7" s="1"/>
  <c r="H136" i="7"/>
  <c r="H135" i="7" s="1"/>
  <c r="G136" i="7"/>
  <c r="G135" i="7" s="1"/>
  <c r="F136" i="7"/>
  <c r="F135" i="7" s="1"/>
  <c r="E136" i="7"/>
  <c r="E135" i="7" s="1"/>
  <c r="J132" i="7"/>
  <c r="I132" i="7"/>
  <c r="F132" i="7"/>
  <c r="E132" i="7"/>
  <c r="H127" i="7"/>
  <c r="G127" i="7"/>
  <c r="J125" i="7"/>
  <c r="I125" i="7"/>
  <c r="H125" i="7"/>
  <c r="G125" i="7"/>
  <c r="F125" i="7"/>
  <c r="E125" i="7"/>
  <c r="J123" i="7"/>
  <c r="I123" i="7"/>
  <c r="H123" i="7"/>
  <c r="G123" i="7"/>
  <c r="F123" i="7"/>
  <c r="J122" i="7"/>
  <c r="J121" i="7" s="1"/>
  <c r="I121" i="7"/>
  <c r="G121" i="7"/>
  <c r="F121" i="7"/>
  <c r="E121" i="7"/>
  <c r="E118" i="7"/>
  <c r="J118" i="7"/>
  <c r="I118" i="7"/>
  <c r="H118" i="7"/>
  <c r="G118" i="7"/>
  <c r="F118" i="7"/>
  <c r="I115" i="7"/>
  <c r="H115" i="7"/>
  <c r="G115" i="7"/>
  <c r="F115" i="7"/>
  <c r="J112" i="7"/>
  <c r="I112" i="7"/>
  <c r="H112" i="7"/>
  <c r="G112" i="7"/>
  <c r="F112" i="7"/>
  <c r="H105" i="7"/>
  <c r="G105" i="7"/>
  <c r="J102" i="7"/>
  <c r="I102" i="7"/>
  <c r="H102" i="7"/>
  <c r="G102" i="7"/>
  <c r="F102" i="7"/>
  <c r="E102" i="7"/>
  <c r="J97" i="7"/>
  <c r="I97" i="7"/>
  <c r="H97" i="7"/>
  <c r="G97" i="7"/>
  <c r="F97" i="7"/>
  <c r="J94" i="7"/>
  <c r="J89" i="7" s="1"/>
  <c r="I94" i="7"/>
  <c r="H94" i="7"/>
  <c r="H89" i="7" s="1"/>
  <c r="G94" i="7"/>
  <c r="F94" i="7"/>
  <c r="E94" i="7"/>
  <c r="I90" i="7"/>
  <c r="G90" i="7"/>
  <c r="F90" i="7"/>
  <c r="J84" i="7"/>
  <c r="J83" i="7" s="1"/>
  <c r="I84" i="7"/>
  <c r="H84" i="7"/>
  <c r="G84" i="7"/>
  <c r="F84" i="7"/>
  <c r="J80" i="7"/>
  <c r="I80" i="7"/>
  <c r="H80" i="7"/>
  <c r="G80" i="7"/>
  <c r="F80" i="7"/>
  <c r="E80" i="7"/>
  <c r="F76" i="7"/>
  <c r="J76" i="7"/>
  <c r="H76" i="7"/>
  <c r="G76" i="7"/>
  <c r="I71" i="7"/>
  <c r="H71" i="7"/>
  <c r="G71" i="7"/>
  <c r="F71" i="7"/>
  <c r="E71" i="7"/>
  <c r="E68" i="7"/>
  <c r="J68" i="7"/>
  <c r="H68" i="7"/>
  <c r="G68" i="7"/>
  <c r="F68" i="7"/>
  <c r="E65" i="7"/>
  <c r="J65" i="7"/>
  <c r="I65" i="7"/>
  <c r="H65" i="7"/>
  <c r="G65" i="7"/>
  <c r="F65" i="7"/>
  <c r="F61" i="7"/>
  <c r="J61" i="7"/>
  <c r="I61" i="7"/>
  <c r="H61" i="7"/>
  <c r="G61" i="7"/>
  <c r="E55" i="7"/>
  <c r="J55" i="7"/>
  <c r="I55" i="7"/>
  <c r="H55" i="7"/>
  <c r="F55" i="7"/>
  <c r="E52" i="7"/>
  <c r="J52" i="7"/>
  <c r="I52" i="7"/>
  <c r="H52" i="7"/>
  <c r="G52" i="7"/>
  <c r="F52" i="7"/>
  <c r="J48" i="7"/>
  <c r="I48" i="7"/>
  <c r="H48" i="7"/>
  <c r="G48" i="7"/>
  <c r="F48" i="7"/>
  <c r="E44" i="7"/>
  <c r="E43" i="7" s="1"/>
  <c r="J44" i="7"/>
  <c r="J43" i="7" s="1"/>
  <c r="I44" i="7"/>
  <c r="I43" i="7" s="1"/>
  <c r="H44" i="7"/>
  <c r="H43" i="7" s="1"/>
  <c r="G44" i="7"/>
  <c r="G43" i="7" s="1"/>
  <c r="J33" i="7"/>
  <c r="I33" i="7"/>
  <c r="H33" i="7"/>
  <c r="G33" i="7"/>
  <c r="E31" i="7"/>
  <c r="J31" i="7"/>
  <c r="I31" i="7"/>
  <c r="H31" i="7"/>
  <c r="G31" i="7"/>
  <c r="F31" i="7"/>
  <c r="F27" i="7"/>
  <c r="J27" i="7"/>
  <c r="H27" i="7"/>
  <c r="G27" i="7"/>
  <c r="E23" i="7"/>
  <c r="J23" i="7"/>
  <c r="I23" i="7"/>
  <c r="H23" i="7"/>
  <c r="G23" i="7"/>
  <c r="F23" i="7"/>
  <c r="E18" i="7"/>
  <c r="E17" i="7" s="1"/>
  <c r="J18" i="7"/>
  <c r="I18" i="7"/>
  <c r="I17" i="7" s="1"/>
  <c r="G18" i="7"/>
  <c r="G17" i="7" s="1"/>
  <c r="F18" i="7"/>
  <c r="F17" i="7" s="1"/>
  <c r="H17" i="7"/>
  <c r="J14" i="7"/>
  <c r="I14" i="7"/>
  <c r="I13" i="7" s="1"/>
  <c r="H14" i="7"/>
  <c r="H13" i="7" s="1"/>
  <c r="G14" i="7"/>
  <c r="G13" i="7" s="1"/>
  <c r="F14" i="7"/>
  <c r="F13" i="7" s="1"/>
  <c r="E14" i="4"/>
  <c r="E17" i="4"/>
  <c r="E21" i="4"/>
  <c r="E20" i="4" s="1"/>
  <c r="E19" i="4" s="1"/>
  <c r="F476" i="9" l="1"/>
  <c r="F674" i="7"/>
  <c r="I674" i="7"/>
  <c r="G674" i="7"/>
  <c r="H674" i="7"/>
  <c r="J674" i="7"/>
  <c r="H155" i="7"/>
  <c r="H706" i="7" s="1"/>
  <c r="I155" i="7"/>
  <c r="J155" i="7"/>
  <c r="H355" i="7"/>
  <c r="G355" i="7"/>
  <c r="F355" i="7"/>
  <c r="J13" i="7"/>
  <c r="J17" i="7"/>
  <c r="G679" i="7"/>
  <c r="H679" i="7"/>
  <c r="J679" i="7"/>
  <c r="G339" i="7"/>
  <c r="I679" i="7"/>
  <c r="J433" i="7"/>
  <c r="H339" i="7"/>
  <c r="H593" i="7"/>
  <c r="F476" i="7"/>
  <c r="G433" i="7"/>
  <c r="H433" i="7"/>
  <c r="I339" i="7"/>
  <c r="J339" i="7"/>
  <c r="E433" i="7"/>
  <c r="F433" i="7"/>
  <c r="I433" i="7"/>
  <c r="J593" i="7"/>
  <c r="J476" i="7"/>
  <c r="G593" i="7"/>
  <c r="H476" i="7"/>
  <c r="G476" i="7"/>
  <c r="I476" i="7"/>
  <c r="F455" i="7"/>
  <c r="G271" i="7"/>
  <c r="H271" i="7"/>
  <c r="J271" i="7"/>
  <c r="I22" i="7"/>
  <c r="I21" i="7" s="1"/>
  <c r="J22" i="7"/>
  <c r="G22" i="7"/>
  <c r="G21" i="7" s="1"/>
  <c r="G701" i="7" s="1"/>
  <c r="H22" i="7"/>
  <c r="H21" i="7" s="1"/>
  <c r="H701" i="7" s="1"/>
  <c r="I488" i="7"/>
  <c r="I487" i="7" s="1"/>
  <c r="J488" i="7"/>
  <c r="J487" i="7" s="1"/>
  <c r="I583" i="7"/>
  <c r="I575" i="7" s="1"/>
  <c r="I611" i="7"/>
  <c r="F523" i="7"/>
  <c r="F680" i="7" s="1"/>
  <c r="F130" i="7"/>
  <c r="F128" i="7" s="1"/>
  <c r="F127" i="7" s="1"/>
  <c r="F131" i="7"/>
  <c r="I167" i="7"/>
  <c r="F105" i="7"/>
  <c r="F104" i="7" s="1"/>
  <c r="E157" i="7"/>
  <c r="E156" i="7" s="1"/>
  <c r="F157" i="7"/>
  <c r="F156" i="7" s="1"/>
  <c r="F284" i="7"/>
  <c r="I256" i="7"/>
  <c r="H560" i="7"/>
  <c r="F34" i="7"/>
  <c r="F33" i="7" s="1"/>
  <c r="F22" i="7" s="1"/>
  <c r="F44" i="7"/>
  <c r="F43" i="7" s="1"/>
  <c r="I523" i="7"/>
  <c r="E523" i="7"/>
  <c r="E680" i="7" s="1"/>
  <c r="I284" i="7"/>
  <c r="F342" i="7"/>
  <c r="F339" i="7" s="1"/>
  <c r="G560" i="7"/>
  <c r="I261" i="7"/>
  <c r="F234" i="7"/>
  <c r="I546" i="7"/>
  <c r="I538" i="7" s="1"/>
  <c r="I234" i="7"/>
  <c r="I217" i="7" s="1"/>
  <c r="F576" i="7"/>
  <c r="F575" i="7" s="1"/>
  <c r="E614" i="7"/>
  <c r="E612" i="7" s="1"/>
  <c r="E611" i="7" s="1"/>
  <c r="F239" i="7"/>
  <c r="I289" i="7"/>
  <c r="J611" i="7"/>
  <c r="F261" i="7"/>
  <c r="F560" i="7"/>
  <c r="E480" i="7"/>
  <c r="E479" i="7" s="1"/>
  <c r="E476" i="7" s="1"/>
  <c r="F445" i="7"/>
  <c r="F444" i="7" s="1"/>
  <c r="F507" i="7"/>
  <c r="G575" i="7"/>
  <c r="H575" i="7"/>
  <c r="F611" i="7"/>
  <c r="F309" i="7"/>
  <c r="G611" i="7"/>
  <c r="H611" i="7"/>
  <c r="F528" i="7"/>
  <c r="J678" i="7"/>
  <c r="J575" i="7"/>
  <c r="F189" i="7"/>
  <c r="F167" i="7" s="1"/>
  <c r="F229" i="7"/>
  <c r="F546" i="7"/>
  <c r="F538" i="7" s="1"/>
  <c r="G678" i="7"/>
  <c r="H678" i="7"/>
  <c r="F256" i="7"/>
  <c r="F212" i="7"/>
  <c r="F194" i="7" s="1"/>
  <c r="F294" i="7"/>
  <c r="F289" i="7"/>
  <c r="F677" i="7" s="1"/>
  <c r="I599" i="7"/>
  <c r="I593" i="7" s="1"/>
  <c r="F599" i="7"/>
  <c r="F593" i="7" s="1"/>
  <c r="E13" i="4"/>
  <c r="E12" i="4" s="1"/>
  <c r="E23" i="4" s="1"/>
  <c r="E261" i="7"/>
  <c r="E625" i="7"/>
  <c r="E624" i="7" s="1"/>
  <c r="E623" i="7" s="1"/>
  <c r="E666" i="7"/>
  <c r="E656" i="7" s="1"/>
  <c r="F632" i="7"/>
  <c r="F631" i="7" s="1"/>
  <c r="E647" i="7"/>
  <c r="E643" i="7" s="1"/>
  <c r="E599" i="7"/>
  <c r="E593" i="7" s="1"/>
  <c r="E569" i="7"/>
  <c r="E568" i="7" s="1"/>
  <c r="E583" i="7"/>
  <c r="E575" i="7" s="1"/>
  <c r="G538" i="7"/>
  <c r="E560" i="7"/>
  <c r="E533" i="7"/>
  <c r="E539" i="7"/>
  <c r="G167" i="7"/>
  <c r="H12" i="7"/>
  <c r="E500" i="7"/>
  <c r="E546" i="7"/>
  <c r="E528" i="7"/>
  <c r="E488" i="7"/>
  <c r="E451" i="7"/>
  <c r="E507" i="7"/>
  <c r="E461" i="7"/>
  <c r="E460" i="7" s="1"/>
  <c r="E494" i="7"/>
  <c r="E455" i="7"/>
  <c r="E467" i="7"/>
  <c r="E466" i="7" s="1"/>
  <c r="E429" i="7"/>
  <c r="E425" i="7" s="1"/>
  <c r="E409" i="7"/>
  <c r="E403" i="7" s="1"/>
  <c r="E419" i="7"/>
  <c r="E415" i="7" s="1"/>
  <c r="E365" i="7"/>
  <c r="E355" i="7" s="1"/>
  <c r="D676" i="7"/>
  <c r="H167" i="7"/>
  <c r="J167" i="7"/>
  <c r="H677" i="7"/>
  <c r="H538" i="7"/>
  <c r="E349" i="7"/>
  <c r="E342" i="7"/>
  <c r="G677" i="7"/>
  <c r="F89" i="7"/>
  <c r="J425" i="7"/>
  <c r="H403" i="7"/>
  <c r="J244" i="7"/>
  <c r="H120" i="7"/>
  <c r="J391" i="7"/>
  <c r="H447" i="7"/>
  <c r="J194" i="7"/>
  <c r="H217" i="7"/>
  <c r="G244" i="7"/>
  <c r="E345" i="7"/>
  <c r="H244" i="7"/>
  <c r="E321" i="7"/>
  <c r="E309" i="7"/>
  <c r="E679" i="7" s="1"/>
  <c r="E330" i="7"/>
  <c r="E325" i="7"/>
  <c r="E239" i="7"/>
  <c r="E677" i="7"/>
  <c r="E284" i="7"/>
  <c r="E294" i="7"/>
  <c r="E272" i="7"/>
  <c r="I75" i="7"/>
  <c r="J96" i="7"/>
  <c r="H460" i="7"/>
  <c r="G194" i="7"/>
  <c r="H194" i="7"/>
  <c r="G383" i="7"/>
  <c r="H466" i="7"/>
  <c r="I194" i="7"/>
  <c r="G217" i="7"/>
  <c r="E245" i="7"/>
  <c r="E218" i="7"/>
  <c r="I60" i="7"/>
  <c r="F460" i="7"/>
  <c r="E256" i="7"/>
  <c r="E234" i="7"/>
  <c r="E229" i="7"/>
  <c r="E212" i="7"/>
  <c r="E195" i="7"/>
  <c r="E202" i="7"/>
  <c r="H75" i="7"/>
  <c r="I96" i="7"/>
  <c r="F120" i="7"/>
  <c r="G415" i="7"/>
  <c r="G460" i="7"/>
  <c r="I391" i="7"/>
  <c r="H415" i="7"/>
  <c r="G466" i="7"/>
  <c r="G47" i="7"/>
  <c r="H681" i="7"/>
  <c r="E207" i="7"/>
  <c r="D675" i="7"/>
  <c r="F415" i="7"/>
  <c r="J383" i="7"/>
  <c r="H656" i="7"/>
  <c r="J447" i="7"/>
  <c r="F487" i="7"/>
  <c r="G568" i="7"/>
  <c r="I637" i="7"/>
  <c r="J656" i="7"/>
  <c r="E391" i="7"/>
  <c r="I403" i="7"/>
  <c r="J568" i="7"/>
  <c r="G487" i="7"/>
  <c r="E139" i="7"/>
  <c r="E138" i="7" s="1"/>
  <c r="E134" i="7" s="1"/>
  <c r="E705" i="7" s="1"/>
  <c r="E178" i="7"/>
  <c r="E189" i="7"/>
  <c r="E183" i="7"/>
  <c r="F96" i="7"/>
  <c r="I415" i="7"/>
  <c r="D715" i="7"/>
  <c r="H675" i="7"/>
  <c r="D677" i="7"/>
  <c r="I425" i="7"/>
  <c r="F138" i="7"/>
  <c r="F134" i="7" s="1"/>
  <c r="F705" i="7" s="1"/>
  <c r="G315" i="7"/>
  <c r="I447" i="7"/>
  <c r="G681" i="7"/>
  <c r="H315" i="7"/>
  <c r="G60" i="7"/>
  <c r="G637" i="7"/>
  <c r="G630" i="7" s="1"/>
  <c r="G656" i="7"/>
  <c r="J47" i="7"/>
  <c r="E383" i="7"/>
  <c r="H138" i="7"/>
  <c r="H134" i="7" s="1"/>
  <c r="H705" i="7" s="1"/>
  <c r="E637" i="7"/>
  <c r="E630" i="7" s="1"/>
  <c r="E715" i="7" s="1"/>
  <c r="J217" i="7"/>
  <c r="J138" i="7"/>
  <c r="J134" i="7" s="1"/>
  <c r="J705" i="7" s="1"/>
  <c r="G676" i="7"/>
  <c r="F391" i="7"/>
  <c r="F447" i="7"/>
  <c r="I460" i="7"/>
  <c r="H637" i="7"/>
  <c r="H630" i="7" s="1"/>
  <c r="I47" i="7"/>
  <c r="I683" i="7"/>
  <c r="G675" i="7"/>
  <c r="J460" i="7"/>
  <c r="I466" i="7"/>
  <c r="F568" i="7"/>
  <c r="E112" i="7"/>
  <c r="J127" i="7"/>
  <c r="I675" i="7"/>
  <c r="I643" i="7"/>
  <c r="J675" i="7"/>
  <c r="G300" i="7"/>
  <c r="H383" i="7"/>
  <c r="H382" i="7" s="1"/>
  <c r="H709" i="7" s="1"/>
  <c r="J120" i="7"/>
  <c r="E120" i="7"/>
  <c r="E27" i="7"/>
  <c r="E61" i="7"/>
  <c r="E60" i="7" s="1"/>
  <c r="E34" i="7"/>
  <c r="E33" i="7" s="1"/>
  <c r="J403" i="7"/>
  <c r="J643" i="7"/>
  <c r="D684" i="7"/>
  <c r="I383" i="7"/>
  <c r="F643" i="7"/>
  <c r="I127" i="7"/>
  <c r="F425" i="7"/>
  <c r="I499" i="7"/>
  <c r="J637" i="7"/>
  <c r="G425" i="7"/>
  <c r="H47" i="7"/>
  <c r="H300" i="7"/>
  <c r="J300" i="7"/>
  <c r="F315" i="7"/>
  <c r="H425" i="7"/>
  <c r="G499" i="7"/>
  <c r="I120" i="7"/>
  <c r="I300" i="7"/>
  <c r="F75" i="7"/>
  <c r="F675" i="7"/>
  <c r="J415" i="7"/>
  <c r="H514" i="7"/>
  <c r="H568" i="7"/>
  <c r="D714" i="7"/>
  <c r="G120" i="7"/>
  <c r="G514" i="7"/>
  <c r="G75" i="7"/>
  <c r="G89" i="7"/>
  <c r="J677" i="7"/>
  <c r="G447" i="7"/>
  <c r="G714" i="7"/>
  <c r="I714" i="7"/>
  <c r="J683" i="7"/>
  <c r="D687" i="7" s="1"/>
  <c r="J75" i="7"/>
  <c r="I138" i="7"/>
  <c r="I134" i="7" s="1"/>
  <c r="I705" i="7" s="1"/>
  <c r="G683" i="7"/>
  <c r="G403" i="7"/>
  <c r="E14" i="7"/>
  <c r="E13" i="7" s="1"/>
  <c r="E12" i="7" s="1"/>
  <c r="H60" i="7"/>
  <c r="I89" i="7"/>
  <c r="H683" i="7"/>
  <c r="J676" i="7"/>
  <c r="F466" i="7"/>
  <c r="E76" i="7"/>
  <c r="E75" i="7" s="1"/>
  <c r="H96" i="7"/>
  <c r="F684" i="7"/>
  <c r="E48" i="7"/>
  <c r="E47" i="7" s="1"/>
  <c r="F60" i="7"/>
  <c r="J60" i="7"/>
  <c r="E90" i="7"/>
  <c r="E89" i="7" s="1"/>
  <c r="G96" i="7"/>
  <c r="G684" i="7"/>
  <c r="J466" i="7"/>
  <c r="H104" i="7"/>
  <c r="J104" i="7"/>
  <c r="H684" i="7"/>
  <c r="I568" i="7"/>
  <c r="I12" i="7"/>
  <c r="E683" i="7"/>
  <c r="G391" i="7"/>
  <c r="F47" i="7"/>
  <c r="F383" i="7"/>
  <c r="I681" i="7"/>
  <c r="J514" i="7"/>
  <c r="F637" i="7"/>
  <c r="F656" i="7"/>
  <c r="G12" i="7"/>
  <c r="E97" i="7"/>
  <c r="E96" i="7" s="1"/>
  <c r="G104" i="7"/>
  <c r="J499" i="7"/>
  <c r="J538" i="7"/>
  <c r="H714" i="7"/>
  <c r="D705" i="7"/>
  <c r="D683" i="7"/>
  <c r="D681" i="7"/>
  <c r="I104" i="7"/>
  <c r="G138" i="7"/>
  <c r="G134" i="7" s="1"/>
  <c r="G705" i="7" s="1"/>
  <c r="I315" i="7"/>
  <c r="F714" i="7"/>
  <c r="F683" i="7"/>
  <c r="H676" i="7"/>
  <c r="J315" i="7"/>
  <c r="D678" i="7"/>
  <c r="F403" i="7"/>
  <c r="J714" i="7"/>
  <c r="F12" i="7"/>
  <c r="J681" i="7"/>
  <c r="G17" i="4"/>
  <c r="I21" i="4"/>
  <c r="I20" i="4" s="1"/>
  <c r="I19" i="4" s="1"/>
  <c r="G21" i="4"/>
  <c r="G20" i="4" s="1"/>
  <c r="G19" i="4" s="1"/>
  <c r="H21" i="4"/>
  <c r="H20" i="4" s="1"/>
  <c r="H19" i="4" s="1"/>
  <c r="F21" i="4"/>
  <c r="F20" i="4" s="1"/>
  <c r="F19" i="4" s="1"/>
  <c r="F17" i="4"/>
  <c r="J17" i="4"/>
  <c r="I17" i="4"/>
  <c r="H17" i="4"/>
  <c r="E674" i="7" l="1"/>
  <c r="J166" i="7"/>
  <c r="J708" i="7" s="1"/>
  <c r="H166" i="7"/>
  <c r="G166" i="7"/>
  <c r="J706" i="7"/>
  <c r="I706" i="7"/>
  <c r="F155" i="7"/>
  <c r="F706" i="7" s="1"/>
  <c r="E155" i="7"/>
  <c r="E706" i="7" s="1"/>
  <c r="E271" i="7"/>
  <c r="E499" i="7"/>
  <c r="J21" i="7"/>
  <c r="D701" i="7" s="1"/>
  <c r="J12" i="7"/>
  <c r="D700" i="7" s="1"/>
  <c r="I642" i="7"/>
  <c r="I716" i="7" s="1"/>
  <c r="F300" i="7"/>
  <c r="F679" i="7"/>
  <c r="J642" i="7"/>
  <c r="J716" i="7" s="1"/>
  <c r="G700" i="7"/>
  <c r="H708" i="7"/>
  <c r="J630" i="7"/>
  <c r="J715" i="7" s="1"/>
  <c r="G708" i="7"/>
  <c r="I630" i="7"/>
  <c r="I715" i="7" s="1"/>
  <c r="H715" i="7"/>
  <c r="G715" i="7"/>
  <c r="H642" i="7"/>
  <c r="H716" i="7" s="1"/>
  <c r="H700" i="7"/>
  <c r="G642" i="7"/>
  <c r="G716" i="7" s="1"/>
  <c r="I701" i="7"/>
  <c r="E339" i="7"/>
  <c r="I700" i="7"/>
  <c r="E382" i="7"/>
  <c r="E709" i="7" s="1"/>
  <c r="E514" i="7"/>
  <c r="E700" i="7"/>
  <c r="E315" i="7"/>
  <c r="I271" i="7"/>
  <c r="F271" i="7"/>
  <c r="F166" i="7" s="1"/>
  <c r="I684" i="7"/>
  <c r="F514" i="7"/>
  <c r="I678" i="7"/>
  <c r="J684" i="7"/>
  <c r="E104" i="7"/>
  <c r="E128" i="7"/>
  <c r="E127" i="7" s="1"/>
  <c r="E714" i="7"/>
  <c r="I244" i="7"/>
  <c r="I166" i="7" s="1"/>
  <c r="F21" i="7"/>
  <c r="I514" i="7"/>
  <c r="I486" i="7" s="1"/>
  <c r="I680" i="7"/>
  <c r="I676" i="7"/>
  <c r="F676" i="7"/>
  <c r="E574" i="7"/>
  <c r="E713" i="7" s="1"/>
  <c r="F217" i="7"/>
  <c r="I677" i="7"/>
  <c r="D709" i="7"/>
  <c r="F244" i="7"/>
  <c r="F499" i="7"/>
  <c r="F681" i="7"/>
  <c r="J46" i="7"/>
  <c r="J702" i="7" s="1"/>
  <c r="F678" i="7"/>
  <c r="H74" i="7"/>
  <c r="H703" i="7" s="1"/>
  <c r="E678" i="7"/>
  <c r="F630" i="7"/>
  <c r="F715" i="7" s="1"/>
  <c r="G382" i="7"/>
  <c r="G709" i="7" s="1"/>
  <c r="E538" i="7"/>
  <c r="J382" i="7"/>
  <c r="J709" i="7" s="1"/>
  <c r="E487" i="7"/>
  <c r="E447" i="7"/>
  <c r="E443" i="7" s="1"/>
  <c r="E711" i="7" s="1"/>
  <c r="E681" i="7"/>
  <c r="I74" i="7"/>
  <c r="I703" i="7" s="1"/>
  <c r="I574" i="7"/>
  <c r="I713" i="7" s="1"/>
  <c r="F574" i="7"/>
  <c r="F713" i="7" s="1"/>
  <c r="G574" i="7"/>
  <c r="G713" i="7" s="1"/>
  <c r="I382" i="7"/>
  <c r="I709" i="7" s="1"/>
  <c r="J402" i="7"/>
  <c r="J710" i="7" s="1"/>
  <c r="G46" i="7"/>
  <c r="G702" i="7" s="1"/>
  <c r="H574" i="7"/>
  <c r="H713" i="7" s="1"/>
  <c r="E167" i="7"/>
  <c r="H443" i="7"/>
  <c r="H711" i="7" s="1"/>
  <c r="I46" i="7"/>
  <c r="E300" i="7"/>
  <c r="E676" i="7"/>
  <c r="I402" i="7"/>
  <c r="I710" i="7" s="1"/>
  <c r="D702" i="7"/>
  <c r="G682" i="7"/>
  <c r="G688" i="7" s="1"/>
  <c r="E244" i="7"/>
  <c r="E684" i="7"/>
  <c r="F382" i="7"/>
  <c r="F709" i="7" s="1"/>
  <c r="J574" i="7"/>
  <c r="E217" i="7"/>
  <c r="E194" i="7"/>
  <c r="E642" i="7"/>
  <c r="E716" i="7" s="1"/>
  <c r="G74" i="7"/>
  <c r="G703" i="7" s="1"/>
  <c r="F74" i="7"/>
  <c r="F703" i="7" s="1"/>
  <c r="E675" i="7"/>
  <c r="F88" i="7"/>
  <c r="F704" i="7" s="1"/>
  <c r="I443" i="7"/>
  <c r="I711" i="7" s="1"/>
  <c r="F402" i="7"/>
  <c r="F710" i="7" s="1"/>
  <c r="J88" i="7"/>
  <c r="J704" i="7" s="1"/>
  <c r="H402" i="7"/>
  <c r="G443" i="7"/>
  <c r="G711" i="7" s="1"/>
  <c r="J486" i="7"/>
  <c r="J712" i="7" s="1"/>
  <c r="G486" i="7"/>
  <c r="G712" i="7" s="1"/>
  <c r="D716" i="7"/>
  <c r="H46" i="7"/>
  <c r="H702" i="7" s="1"/>
  <c r="D704" i="7"/>
  <c r="D682" i="7"/>
  <c r="D688" i="7" s="1"/>
  <c r="H88" i="7"/>
  <c r="H704" i="7" s="1"/>
  <c r="G402" i="7"/>
  <c r="D703" i="7"/>
  <c r="E402" i="7"/>
  <c r="E710" i="7" s="1"/>
  <c r="D712" i="7"/>
  <c r="F46" i="7"/>
  <c r="F702" i="7" s="1"/>
  <c r="E74" i="7"/>
  <c r="E703" i="7" s="1"/>
  <c r="F642" i="7"/>
  <c r="F716" i="7" s="1"/>
  <c r="D713" i="7"/>
  <c r="F443" i="7"/>
  <c r="F711" i="7" s="1"/>
  <c r="D711" i="7"/>
  <c r="G88" i="7"/>
  <c r="G704" i="7" s="1"/>
  <c r="E22" i="7"/>
  <c r="H682" i="7"/>
  <c r="H688" i="7" s="1"/>
  <c r="J682" i="7"/>
  <c r="D686" i="7" s="1"/>
  <c r="H486" i="7"/>
  <c r="I88" i="7"/>
  <c r="I704" i="7" s="1"/>
  <c r="J443" i="7"/>
  <c r="D710" i="7"/>
  <c r="E46" i="7"/>
  <c r="E702" i="7" s="1"/>
  <c r="J74" i="7"/>
  <c r="J703" i="7" s="1"/>
  <c r="F700" i="7"/>
  <c r="J21" i="4"/>
  <c r="J20" i="4" s="1"/>
  <c r="J19" i="4" s="1"/>
  <c r="F14" i="4"/>
  <c r="F13" i="4" s="1"/>
  <c r="F12" i="4" s="1"/>
  <c r="F23" i="4" s="1"/>
  <c r="J713" i="7" l="1"/>
  <c r="J669" i="7"/>
  <c r="I669" i="7"/>
  <c r="H470" i="9" s="1"/>
  <c r="H669" i="7"/>
  <c r="G669" i="7"/>
  <c r="I712" i="7"/>
  <c r="E166" i="7"/>
  <c r="J701" i="7"/>
  <c r="J700" i="7"/>
  <c r="I702" i="7"/>
  <c r="F708" i="7"/>
  <c r="J711" i="7"/>
  <c r="H710" i="7"/>
  <c r="H717" i="7" s="1"/>
  <c r="G710" i="7"/>
  <c r="G717" i="7" s="1"/>
  <c r="F701" i="7"/>
  <c r="F486" i="7"/>
  <c r="F712" i="7" s="1"/>
  <c r="E21" i="7"/>
  <c r="E88" i="7"/>
  <c r="E704" i="7" s="1"/>
  <c r="I682" i="7"/>
  <c r="I688" i="7" s="1"/>
  <c r="F682" i="7"/>
  <c r="F688" i="7" s="1"/>
  <c r="D708" i="7"/>
  <c r="D717" i="7" s="1"/>
  <c r="E486" i="7"/>
  <c r="E712" i="7" s="1"/>
  <c r="E682" i="7"/>
  <c r="E688" i="7" s="1"/>
  <c r="J688" i="7"/>
  <c r="G14" i="4"/>
  <c r="G13" i="4" s="1"/>
  <c r="G12" i="4" s="1"/>
  <c r="G23" i="4" s="1"/>
  <c r="H471" i="9" l="1"/>
  <c r="H472" i="9"/>
  <c r="I472" i="9"/>
  <c r="I473" i="9" s="1"/>
  <c r="I470" i="9"/>
  <c r="I471" i="9" s="1"/>
  <c r="F669" i="7"/>
  <c r="E470" i="9" s="1"/>
  <c r="E471" i="9" s="1"/>
  <c r="J717" i="7"/>
  <c r="E669" i="7"/>
  <c r="I708" i="7"/>
  <c r="I717" i="7" s="1"/>
  <c r="F717" i="7"/>
  <c r="E701" i="7"/>
  <c r="E708" i="7"/>
  <c r="H14" i="4"/>
  <c r="H13" i="4" s="1"/>
  <c r="H12" i="4" s="1"/>
  <c r="H23" i="4" s="1"/>
  <c r="I477" i="9" l="1"/>
  <c r="E717" i="7"/>
  <c r="J14" i="4"/>
  <c r="J13" i="4" s="1"/>
  <c r="J12" i="4" s="1"/>
  <c r="J23" i="4" s="1"/>
  <c r="I14" i="4"/>
  <c r="I13" i="4" s="1"/>
  <c r="I12" i="4" s="1"/>
  <c r="I23" i="4" s="1"/>
  <c r="H477" i="9" l="1"/>
  <c r="H466" i="9" l="1"/>
  <c r="H473" i="9" s="1"/>
  <c r="H462" i="9"/>
  <c r="H465" i="9" s="1"/>
  <c r="I465" i="9"/>
  <c r="G462" i="9"/>
  <c r="G465" i="9" s="1"/>
  <c r="G473" i="9"/>
  <c r="I476" i="9" l="1"/>
  <c r="G476" i="9"/>
  <c r="H476" i="9"/>
</calcChain>
</file>

<file path=xl/sharedStrings.xml><?xml version="1.0" encoding="utf-8"?>
<sst xmlns="http://schemas.openxmlformats.org/spreadsheetml/2006/main" count="12806" uniqueCount="822">
  <si>
    <t>Załącznik Nr 1</t>
  </si>
  <si>
    <t>do objaśnień do projektu budżetu</t>
  </si>
  <si>
    <t>Dział</t>
  </si>
  <si>
    <t>Rozdział</t>
  </si>
  <si>
    <t>paragraf</t>
  </si>
  <si>
    <t>Wyszczególnienie</t>
  </si>
  <si>
    <t xml:space="preserve">Projekt budżetu wg potrzeb </t>
  </si>
  <si>
    <t>Projekt budżetu możliwy do zrealizowania</t>
  </si>
  <si>
    <t>wg uchwały budżetowej na 01.01</t>
  </si>
  <si>
    <t>plan po zmianach 31.sierpnia</t>
  </si>
  <si>
    <t>Przewidyw.
wykonanie</t>
  </si>
  <si>
    <t>w złotych</t>
  </si>
  <si>
    <t>Z</t>
  </si>
  <si>
    <t>2110</t>
  </si>
  <si>
    <t>Dotacje celowe otrzymane z budżetu państwa na zadania bieżące z zakresu administracji rządowej oraz inne zadania zlecone ustawami realizowane przez powiat</t>
  </si>
  <si>
    <t>020</t>
  </si>
  <si>
    <t>Leśnictwo</t>
  </si>
  <si>
    <t>02001</t>
  </si>
  <si>
    <t>Gospodarka leśna</t>
  </si>
  <si>
    <t>W</t>
  </si>
  <si>
    <t>Transport i łączność</t>
  </si>
  <si>
    <t>Drogi publiczne powiatowe</t>
  </si>
  <si>
    <t>0870</t>
  </si>
  <si>
    <t>0950</t>
  </si>
  <si>
    <t>Wpływy z tytułu kar i odszkodowań wynikających z umów</t>
  </si>
  <si>
    <t>0970</t>
  </si>
  <si>
    <t>Wpływy z różnych dochodów</t>
  </si>
  <si>
    <t>0490</t>
  </si>
  <si>
    <t>Wpływy z innych lokalnych opłat pobieranych przez jednostki samorządu terytorialnego na podstawie odrębnych ustaw</t>
  </si>
  <si>
    <t>Gospodarka mieszkaniowa</t>
  </si>
  <si>
    <t>Gospodarka gruntami i nieruchomościami</t>
  </si>
  <si>
    <t>0470</t>
  </si>
  <si>
    <t>Wpływy z opłat za trwały zarząd, użytkowanie i służebności</t>
  </si>
  <si>
    <t>0630</t>
  </si>
  <si>
    <t>0640</t>
  </si>
  <si>
    <t>Wpływy z tytułu kosztów egzekucyjnych, opłat komorniczych i kosztów upomnień</t>
  </si>
  <si>
    <t>0750</t>
  </si>
  <si>
    <t>Dochody z najmu i dzierżawy składników majątkowych Skarbu Państwa lub jednostek samorządu terytorialnego oraz innych umów o podobnym charakterze</t>
  </si>
  <si>
    <t>0770</t>
  </si>
  <si>
    <t xml:space="preserve">Wpłaty z tytułu odpłatnego nabycia prawa własności oraz prawa użytkowania wieczystego nieruchomości </t>
  </si>
  <si>
    <t>0920</t>
  </si>
  <si>
    <t>Pozostałe odsetki</t>
  </si>
  <si>
    <t>0940</t>
  </si>
  <si>
    <t>Wpływy z rozliczeń/zwrotów z lat ubiegłych</t>
  </si>
  <si>
    <t>Dochody jednostek samorządu terytorialnego związane z realizacją zadań z zakresu administracji rządowej oraz innych zadań zleconych ustawami</t>
  </si>
  <si>
    <t>Pozostała działalność</t>
  </si>
  <si>
    <t>0570</t>
  </si>
  <si>
    <t>0690</t>
  </si>
  <si>
    <t>Wpływy z różnych opłat</t>
  </si>
  <si>
    <t>Działalność usługowa</t>
  </si>
  <si>
    <t>Zadania z zakresu geodezji i kartografii</t>
  </si>
  <si>
    <t>6410</t>
  </si>
  <si>
    <t>Nadzór budowlany</t>
  </si>
  <si>
    <t>BUDOWA REGIONALNEJ INFRASTRUKTURY INFORMACJI PRZESTRZENNEJ WOJEWÓDZTWA ZACHODNIOPOMORSKIEGO</t>
  </si>
  <si>
    <t>Dotacja celowa w ramach programów finansowanych z udziałem środków europejskich oraz środków, o których mowa w art. 5 ust. 3 pkt 5 lit. a i b ustawy, lub płatności w ramach budżetu środków europejskich, realizowanych przez jednostki samorządu terytorialnego</t>
  </si>
  <si>
    <t>Administracja publiczna</t>
  </si>
  <si>
    <t>Urzędy wojewódzkie</t>
  </si>
  <si>
    <t>Starostwa powiatowe</t>
  </si>
  <si>
    <t>0960</t>
  </si>
  <si>
    <t>Otrzymane spadki, zapisy i darowizny w postaci pieniężnej</t>
  </si>
  <si>
    <t>6260</t>
  </si>
  <si>
    <t>P AR</t>
  </si>
  <si>
    <t>2120</t>
  </si>
  <si>
    <t xml:space="preserve">dotacje celowe otrzymane z budżetu państwa na zadania bieżące realizowane przez powiat na podstawie porozumień z organami administracji rządowej </t>
  </si>
  <si>
    <t>Obrona Narodowa</t>
  </si>
  <si>
    <t>Kwalifikacja wojskowa</t>
  </si>
  <si>
    <t>Bezpieczeństwo publiczne i ochrona przeciwpożarowa</t>
  </si>
  <si>
    <t>Komendy powiatowe Państwowej Straży Pożarnej</t>
  </si>
  <si>
    <t>2700</t>
  </si>
  <si>
    <t>Środki na dofinansowanie własnych zadań bieżących powiatu pozyskane z innych źródeł</t>
  </si>
  <si>
    <t>Wymiar sprawiedliwości</t>
  </si>
  <si>
    <t>Bezpłatna pomoc prawna</t>
  </si>
  <si>
    <t>756</t>
  </si>
  <si>
    <t>Dochody od osób prawnych, od osób fizycznych i od innych jednostek nieposiadających osobowości prawnej oraz wydatki związane z ich poborem</t>
  </si>
  <si>
    <t>75618</t>
  </si>
  <si>
    <t xml:space="preserve">Wpływy z innych opłat stanowiących dochody jednostek samorządu terytorialnego na podstawie ustaw </t>
  </si>
  <si>
    <t>0420</t>
  </si>
  <si>
    <t>Wpływy z opłaty komunikacyjnej</t>
  </si>
  <si>
    <t>WK</t>
  </si>
  <si>
    <t>REFERAT PROMOCJI I WSPÓŁPRACY</t>
  </si>
  <si>
    <t>0460</t>
  </si>
  <si>
    <t>Wpływy z opłaty eksploatacyjnej</t>
  </si>
  <si>
    <t>WOŚRiL</t>
  </si>
  <si>
    <t>WDP</t>
  </si>
  <si>
    <t>WGiK</t>
  </si>
  <si>
    <t>Grzywny, mandaty i inne kary pieniężne od osób fizycznych</t>
  </si>
  <si>
    <t>0580</t>
  </si>
  <si>
    <t>Grzywny, mandaty i inne kary pieniężne od osób prawnych</t>
  </si>
  <si>
    <t>WAB</t>
  </si>
  <si>
    <t>0590</t>
  </si>
  <si>
    <t>Wpływy z opłat za koncesje i licencje</t>
  </si>
  <si>
    <t>WOŚ</t>
  </si>
  <si>
    <t>0610</t>
  </si>
  <si>
    <t>Wpływy z opłat egzaminacyjnych oraz opłat za wydawanie świadectw, dyplomów, zaświadczeń i ich duplikatów</t>
  </si>
  <si>
    <t>0620</t>
  </si>
  <si>
    <t>Wpływy z opłat za zezwolenia</t>
  </si>
  <si>
    <t>WF</t>
  </si>
  <si>
    <t>0650</t>
  </si>
  <si>
    <t>Wpływy z opłat za wydanie prawa jazdy</t>
  </si>
  <si>
    <t>Udziału powiatów w podatkach stanowiących dochód budżetu państwa</t>
  </si>
  <si>
    <t>z tego:</t>
  </si>
  <si>
    <t>0010</t>
  </si>
  <si>
    <t>Udział w podatku dochodowym od osób fizycznych</t>
  </si>
  <si>
    <t>0020</t>
  </si>
  <si>
    <t>Udział w podatku dochodowym od osób prawnych</t>
  </si>
  <si>
    <t>Różne rozliczenia</t>
  </si>
  <si>
    <t>2920</t>
  </si>
  <si>
    <t>Subwencje ogólne z budżetu państwa</t>
  </si>
  <si>
    <t>75814</t>
  </si>
  <si>
    <t>Różne rozliczenia finansowe</t>
  </si>
  <si>
    <t>2990</t>
  </si>
  <si>
    <t>środki niewygasające</t>
  </si>
  <si>
    <t>6680</t>
  </si>
  <si>
    <t>Część równoważąca subwencji ogólnej dla powiatów</t>
  </si>
  <si>
    <t>Oświata i wychowanie</t>
  </si>
  <si>
    <t>Szkoły podstawowe specjalne</t>
  </si>
  <si>
    <t>ZSS w Goleniowie</t>
  </si>
  <si>
    <t>Pozostałe</t>
  </si>
  <si>
    <t>2130</t>
  </si>
  <si>
    <t>Dotacje celowe otrzymane z budżetu państwa na realizację bieżpowiatu</t>
  </si>
  <si>
    <t>80115</t>
  </si>
  <si>
    <t>Technika</t>
  </si>
  <si>
    <t>ZS nr 1 Nowogard</t>
  </si>
  <si>
    <t>Zespół Szkół Nr 1 w Goleniowie</t>
  </si>
  <si>
    <t>0830</t>
  </si>
  <si>
    <t>Wpływy z usług</t>
  </si>
  <si>
    <t>80117</t>
  </si>
  <si>
    <t>Szkoły branżowe I i II stopnia</t>
  </si>
  <si>
    <t>Dotacje celowe otrzymane z budżetu państwa na realizację bie żpowiatu</t>
  </si>
  <si>
    <t>Licea ogólnokształcące</t>
  </si>
  <si>
    <t>LO Nowogard</t>
  </si>
  <si>
    <t>2910</t>
  </si>
  <si>
    <t>Wpływy ze zwrotów dotacji oraz płatności, w tym wykorzystanych niezgodnie z przeznaczeniem lub wykorzystanych z naruszeniem procedur, o których mowa w art. 184 ustawy, pobranych nienależnie lub w nadmiernej wysokości</t>
  </si>
  <si>
    <t>6300</t>
  </si>
  <si>
    <t>Wpływy z tytułu pomocy finansowej udzielonej między jednostkami samorządu terytorialnego na dofinansowanie własnych zadań inwestycyjnych i zakupów inwestycyjnych</t>
  </si>
  <si>
    <t>Szkoły artystyczne</t>
  </si>
  <si>
    <t>Szkoła Muzyczna</t>
  </si>
  <si>
    <t>Stołówki szkolne</t>
  </si>
  <si>
    <t>Zapewnienie uczniom prawa do bezpłatnego dostępu do podręczników, materiałów edukacyjnych lub materiałów ćwiczeniowych</t>
  </si>
  <si>
    <t>Dotacje celowe w ramach programów finansowanych z udziałem środków europejskich oraz środków, o których mowa w art. 5 ust. 1 pkt 3 oraz ust. 3 pkt 5 i 6 ustawy, lub płatności w ramach budżetu środków europejskich</t>
  </si>
  <si>
    <t>2057</t>
  </si>
  <si>
    <t>2059</t>
  </si>
  <si>
    <t>Dotacje celowe otrzymane z budżetu państwa na zadania bieżące realizowane przez powiat na podstawie porozumień z organami administracji rzadowej</t>
  </si>
  <si>
    <t>Ochrona zdrowia</t>
  </si>
  <si>
    <t>85111</t>
  </si>
  <si>
    <t>Szpitale ogólne</t>
  </si>
  <si>
    <t>Zakłady opiekuńczo-lecznicze i pielęgnacyjno-opiekuńcze</t>
  </si>
  <si>
    <t>PCPR</t>
  </si>
  <si>
    <t>2900</t>
  </si>
  <si>
    <t>Wpływy z wpłat gmin i powiatów na rzecz innych jednostek samorządu terytorialnego oraz związków gmin lub związków powiatów na dofinansowanie zadań bieżących</t>
  </si>
  <si>
    <t>Pomoc społeczna</t>
  </si>
  <si>
    <t>Domy pomocy społecznej</t>
  </si>
  <si>
    <t xml:space="preserve">Dochody z najmu i dzierżawy składników majątkowych Skarbu Państwa, jednostek samorządu terytorialnego lub innych jednostek zaliczanych do sektora finansów publicznych oraz innych umów o podobnym charakterze </t>
  </si>
  <si>
    <t>DPS</t>
  </si>
  <si>
    <t>0840</t>
  </si>
  <si>
    <t>Wpływy ze sprzedaży wyrobów</t>
  </si>
  <si>
    <t xml:space="preserve">Wpływy ze sprzedaży składników majątkowych </t>
  </si>
  <si>
    <t xml:space="preserve">Dotacje celowe otrzymane z budżetu państwa na realizację bieżących zadań własnych powiatu </t>
  </si>
  <si>
    <t>Dotacje otrzymane z państwowych funduszy celowych na finansowanie lub dofinansowanie kosztów realizacji inwestycji i zakupów inwestycyjnych jednostek sektora finansów publicznych</t>
  </si>
  <si>
    <t>Zadania w zakresie przeciwdziałania przemocy w rodzinie</t>
  </si>
  <si>
    <t>Powiatowe centra pomocy rodzinie</t>
  </si>
  <si>
    <t>Jednostki specjalistycznego poradnictwa, mieszkania chronione i ośrodki interwencji kryzysowej</t>
  </si>
  <si>
    <t>2710</t>
  </si>
  <si>
    <t xml:space="preserve">Wpływy z tytułu pomocy finansowej udzielanej między jednostkami samorządu terytorialnego na dofinansowanie własnych zadań bieżących </t>
  </si>
  <si>
    <t>Gmina Goleniów</t>
  </si>
  <si>
    <t>POZOST. ZADANIA W ZAKR.POLITYKI SPOŁECZNEJ</t>
  </si>
  <si>
    <t>REHABILITACJA ZAWODOWA I SPOŁECZNA OSÓB NIEPEŁNOSPRAWNYCH</t>
  </si>
  <si>
    <t>P JST</t>
  </si>
  <si>
    <t>2320</t>
  </si>
  <si>
    <t xml:space="preserve">Dotacje celowe otrzymane z powiatu na zadania bieżące realizowane na podstawie porozumień (umów) między jednostkami samorządu terytorialnego </t>
  </si>
  <si>
    <t>Powiat Gryficki</t>
  </si>
  <si>
    <t>Powiat Łobeski</t>
  </si>
  <si>
    <t>Dotacja otrzymana z państwowego funduszu celowego na finansowanie lub dofinansowanie kosztów realizacji inwestycji i zakupów inwestycyjnych jednostek sektora finansów publicznych</t>
  </si>
  <si>
    <t>Zespoły do spraw orzekania o niepełnosprawności</t>
  </si>
  <si>
    <t>Państwowy Fundusz Rehabilitacji Osób Niepełnosprawnych</t>
  </si>
  <si>
    <t xml:space="preserve">Wpływy z usług </t>
  </si>
  <si>
    <t>Powiatowe urzędy pracy</t>
  </si>
  <si>
    <t>Wpływy z opłat za zezwolenia, akredytacje oraz opłaty ewidencjinowane w tym opłaty za częstotliwość</t>
  </si>
  <si>
    <t>PUP</t>
  </si>
  <si>
    <t>2690</t>
  </si>
  <si>
    <t xml:space="preserve">Środki z Funduszu Pracy otrzymane przez powiat z przeznaczeniem na finansowanie kosztów wynagrodzenia i składek na ubezpieczenia społeczne pracowników powiatowego urzędu pracy </t>
  </si>
  <si>
    <t>Edukacyjna opieka wychowawcza</t>
  </si>
  <si>
    <t>Specjalne ośrodki szkolno-wychowawcze</t>
  </si>
  <si>
    <t>SOSW Nowogard</t>
  </si>
  <si>
    <t xml:space="preserve">wpływy z usług </t>
  </si>
  <si>
    <t>Poradnie psychologiczno-pedagogiczne, w tym poradnie specjalistyczne</t>
  </si>
  <si>
    <t>PPP w Goleniowie</t>
  </si>
  <si>
    <t>SPT w Nowogardzie</t>
  </si>
  <si>
    <t>Organ</t>
  </si>
  <si>
    <t>Internaty i bursy szkolne</t>
  </si>
  <si>
    <t>Rodzina</t>
  </si>
  <si>
    <t>Rodziny zastępcze</t>
  </si>
  <si>
    <t>0680</t>
  </si>
  <si>
    <t>Wpływy od rodziców z tytułu odpłatności za utrzymanie dzieci (wychowanków) w placówkach opiekuńczo-wychowawczych</t>
  </si>
  <si>
    <t>Działalność placówek opiekuńczo-wychowawczych</t>
  </si>
  <si>
    <t>CO POW</t>
  </si>
  <si>
    <t>COPOW</t>
  </si>
  <si>
    <t>Wpłaty gmin i powiatów na rzecz innych jednostek samorządu terytorialnego oraz związków gmin lub związków powiatów na dofinansowanie zadań bieżących</t>
  </si>
  <si>
    <t>Gospodarka komunalna i ochrona środowiska</t>
  </si>
  <si>
    <t>90019</t>
  </si>
  <si>
    <t>Wpływy i wydatki związane z gromadzeniem środków z opłat i kar za korzystanie ze środowiska</t>
  </si>
  <si>
    <t>Kultura fizyczna</t>
  </si>
  <si>
    <t>Obiekty sportowe</t>
  </si>
  <si>
    <t>OGÓŁEM</t>
  </si>
  <si>
    <t>DOCHODY</t>
  </si>
  <si>
    <t>ZADANIA POWIERZONE Z ORGANAMI ADMINISTRACJI RZĄDOWEJ</t>
  </si>
  <si>
    <t>ZADANIA POWIERZONE Z JEDNOSTKAMI SAMORZĄDU TERYTORIALNEGO</t>
  </si>
  <si>
    <t>ZADANIA WŁASNE z tego:</t>
  </si>
  <si>
    <t>ZADANIA WŁASNE BIEŻĄCE</t>
  </si>
  <si>
    <t>ZADANIA WŁASNE MAJĄTKOWE</t>
  </si>
  <si>
    <t>OGÓŁEM DOCHODY</t>
  </si>
  <si>
    <t>WYDATKI</t>
  </si>
  <si>
    <t>ROZCHODY</t>
  </si>
  <si>
    <t xml:space="preserve">WYDATKI BIEŻĄCE NA ZADANIA WŁASNE </t>
  </si>
  <si>
    <t>razem wydatki bieżące na zadania własne i rozchody</t>
  </si>
  <si>
    <t>róznica (przychody - rozchody)</t>
  </si>
  <si>
    <t>INWESTYCJE WŁASNE</t>
  </si>
  <si>
    <t>PCPR w Goleniowie</t>
  </si>
  <si>
    <t>6370</t>
  </si>
  <si>
    <t>Środki otrzymane z Rządowego Funduszu Polski ład: Program Inwestycji Strategicznych na realizacje zadań inwestycyjnych</t>
  </si>
  <si>
    <t xml:space="preserve">Załącznik Nr 2 </t>
  </si>
  <si>
    <t xml:space="preserve">do objaśnień  do projektu budżetu </t>
  </si>
  <si>
    <t>plan po zmian.stan na dzień 31 sierpnia</t>
  </si>
  <si>
    <t>wg.zgłosz.
Potrzeb po odjęciu wydatków z tytułu bonu indywidualnego</t>
  </si>
  <si>
    <t>wg polecenia Zarządu Powiatu</t>
  </si>
  <si>
    <t>Wydział Ochrony Środowiska, Rolnictwa i Leśnictwa</t>
  </si>
  <si>
    <t>Wydatki związane z realizacją zadań statutowych</t>
  </si>
  <si>
    <t>Świadczenia na rzecz osób fizycznych</t>
  </si>
  <si>
    <t>02002</t>
  </si>
  <si>
    <t>Nadzór nad gospodarką leśną</t>
  </si>
  <si>
    <t>Wynagrodzenia i składki od nich naliczane</t>
  </si>
  <si>
    <t>Wydział Finansowy - Jednostka</t>
  </si>
  <si>
    <t>Wydział Administracji i Bezpieczeństwa</t>
  </si>
  <si>
    <t>Wydział  Gospodarki Nieruchomościami</t>
  </si>
  <si>
    <t>Wydział Dróg Powiatowych i Inwestycji</t>
  </si>
  <si>
    <t>Dotacje na zadania bieżące z tego:</t>
  </si>
  <si>
    <t>Gmina Nowogard</t>
  </si>
  <si>
    <t>Gmina Maszewo</t>
  </si>
  <si>
    <t>60020</t>
  </si>
  <si>
    <t>Funkcjonowanie przystanków komunikacyjnych</t>
  </si>
  <si>
    <t xml:space="preserve">Wydział Dróg Powiatowych i Inwestycji </t>
  </si>
  <si>
    <t>Wydział Finansowy</t>
  </si>
  <si>
    <t>Rady powiatów</t>
  </si>
  <si>
    <t>Wydatki związane z realizacją zadań statutowych w tym:</t>
  </si>
  <si>
    <t xml:space="preserve">Fundusz Przewodniczacego </t>
  </si>
  <si>
    <t xml:space="preserve">Wydział Komunikacji </t>
  </si>
  <si>
    <t>Referat Promocji i Współpracy</t>
  </si>
  <si>
    <t>Promocja jednostek samorządu terytorialnego</t>
  </si>
  <si>
    <t>75412</t>
  </si>
  <si>
    <t>Ochotnicze straże pożarne</t>
  </si>
  <si>
    <t>Zarządzanie kryzysowe</t>
  </si>
  <si>
    <t>SOSW</t>
  </si>
  <si>
    <t>755</t>
  </si>
  <si>
    <t>75515</t>
  </si>
  <si>
    <t>Nieodpłatna pomoc prawna</t>
  </si>
  <si>
    <t>Obsługa długu publicznego</t>
  </si>
  <si>
    <t>Obsługa papierów wartościowych, kredytów i pożyczek jednostek samorządu terytorialnego</t>
  </si>
  <si>
    <t>Rezerwy ogólne i celowe</t>
  </si>
  <si>
    <t>Rezerwy</t>
  </si>
  <si>
    <t>Wydział Oświaty i Sportu</t>
  </si>
  <si>
    <t>Wynagrodzenie nauczycieli</t>
  </si>
  <si>
    <t>SOSW w Nowogardzie</t>
  </si>
  <si>
    <t>Wynagrodzenia nauczycieli</t>
  </si>
  <si>
    <t>świadczenia na rzecz osób fizycznych</t>
  </si>
  <si>
    <t>Remonty</t>
  </si>
  <si>
    <t>Fundusz Pomocy Ukrainie</t>
  </si>
  <si>
    <t>80107</t>
  </si>
  <si>
    <t>świetlice szkolne</t>
  </si>
  <si>
    <t>dotacje</t>
  </si>
  <si>
    <t>Zespół Szkół Nr 1 w Nowogardzie</t>
  </si>
  <si>
    <r>
      <rPr>
        <b/>
        <i/>
        <sz val="8.25"/>
        <color indexed="8"/>
        <rFont val="Arial"/>
        <family val="2"/>
        <charset val="238"/>
      </rPr>
      <t xml:space="preserve">I </t>
    </r>
    <r>
      <rPr>
        <b/>
        <sz val="8.25"/>
        <color indexed="8"/>
        <rFont val="Arial"/>
        <family val="2"/>
        <charset val="238"/>
      </rPr>
      <t>LO w Nowogardzie</t>
    </r>
  </si>
  <si>
    <t xml:space="preserve">Szkoła Muzyczna </t>
  </si>
  <si>
    <t>80134</t>
  </si>
  <si>
    <t>Szkoły zawodowe specjalne</t>
  </si>
  <si>
    <t>Dokształcanie i doskonalenie nauczycieli</t>
  </si>
  <si>
    <t>80152</t>
  </si>
  <si>
    <t>Realizacja zadań wymagających stosowania specjalnej organizacji nauki i metod pracy dla dzieci i młodzieży w szkołach podstawowych, gimnazjach, liceach ogólnokształcących, liceach profilowanych i szkołach zawodowych oraz szkołach artystycznych</t>
  </si>
  <si>
    <t>I LO w Nowogardzie</t>
  </si>
  <si>
    <t>Wydatki na programy finansowane z udziałem środków europejskich</t>
  </si>
  <si>
    <t>ZS nr 1 w Nowogardzie</t>
  </si>
  <si>
    <t>85117</t>
  </si>
  <si>
    <t>85149</t>
  </si>
  <si>
    <t>Programy polityki zdrowotnej</t>
  </si>
  <si>
    <t>DPS w Nowogardzie</t>
  </si>
  <si>
    <t>ZAPEWNIENIE BEZPIECZEŃSTWA DPS GRANT COVID 19</t>
  </si>
  <si>
    <t>Pozostałe zadania w zakresie polityki społecznej</t>
  </si>
  <si>
    <t>Rehabilitacja zawodowa i społeczna osób niepełnosprawnych</t>
  </si>
  <si>
    <t>85321</t>
  </si>
  <si>
    <t>Powiatowy Zespół d/s Orzekania o Niepełnosprawności</t>
  </si>
  <si>
    <t>85395</t>
  </si>
  <si>
    <t>POWRÓT DO PRZYSZŁOŚCI PROJEKT EFS</t>
  </si>
  <si>
    <t>85404</t>
  </si>
  <si>
    <t>Wczesne wspomaganie rozwoju dziecka</t>
  </si>
  <si>
    <t xml:space="preserve">Kolonie i obozy oraz inne formy wypoczynku dzieci i młodzieży szkolnej, a także szkolenia młodzieży </t>
  </si>
  <si>
    <t>Pomoc materialna dla uczniów o charakterze socjalnym</t>
  </si>
  <si>
    <t>85416</t>
  </si>
  <si>
    <t>Pomoc materialna dla uczniów o charakterze motywacyjnym</t>
  </si>
  <si>
    <t>Ośrodki rewalidacyjno-wychowawcze</t>
  </si>
  <si>
    <t>855</t>
  </si>
  <si>
    <t>85508</t>
  </si>
  <si>
    <t>85510</t>
  </si>
  <si>
    <t>85595</t>
  </si>
  <si>
    <t>900</t>
  </si>
  <si>
    <t>GOSPODARKA KOMUNALNA I OCHRONA ŚRODOWISKA</t>
  </si>
  <si>
    <t>Wydział Ochrony Środowiska i Rolnictwa</t>
  </si>
  <si>
    <t>Dotacje na zadania bieżące</t>
  </si>
  <si>
    <t>90095</t>
  </si>
  <si>
    <t>Kultura i ochrona dziedzictwa narodowego</t>
  </si>
  <si>
    <t>Biblioteki</t>
  </si>
  <si>
    <t>Ochrona zabytków i opieka nad zabytkami</t>
  </si>
  <si>
    <t>Wydział Oświatyi Sportu</t>
  </si>
  <si>
    <t xml:space="preserve">Kultura fizyczna </t>
  </si>
  <si>
    <t>92605</t>
  </si>
  <si>
    <t>Zadania z zakresu kultury fizycznej i sportu</t>
  </si>
  <si>
    <t>ZESTAWIENIE DOCHODÓW I WYDATKÓW NA OŚWIATĘ</t>
  </si>
  <si>
    <t>LO w Nowogardzie</t>
  </si>
  <si>
    <t>RAZEM</t>
  </si>
  <si>
    <t>Wydział Finansowy - Jednostka wydatki na oświatę</t>
  </si>
  <si>
    <t>WYDATKI  NA OŚWIATĘ</t>
  </si>
  <si>
    <t xml:space="preserve">SUBWENCJA OŚWIATOWA </t>
  </si>
  <si>
    <t>DOCHODY  OSWIATOWE</t>
  </si>
  <si>
    <t>Srodki jakie należy dołożyć do oświaty</t>
  </si>
  <si>
    <t>bon oświatowy</t>
  </si>
  <si>
    <t>wg.zgłosz.
Potrzeb po odjęciu wydatków z tytułu bonu oświatowego</t>
  </si>
  <si>
    <t xml:space="preserve">Załącznik Nr 3 </t>
  </si>
  <si>
    <t>plan po zmianach</t>
  </si>
  <si>
    <t>wg.przyznanej dotacji przez Wojewodę Zachodniopomorskiego</t>
  </si>
  <si>
    <t>wg.zgłosz.
potrzeb</t>
  </si>
  <si>
    <t>Wariant Zarządu Powiatu</t>
  </si>
  <si>
    <t>GOSPODARKA MIESZKANIOWA</t>
  </si>
  <si>
    <t>wydatki inwestycyjne</t>
  </si>
  <si>
    <t>DZIAŁALNOŚĆ USŁUGOWA</t>
  </si>
  <si>
    <t>71012</t>
  </si>
  <si>
    <t>Wydział Geodezji , Kartografii i Kastratu</t>
  </si>
  <si>
    <t>Projekt geodezyjny</t>
  </si>
  <si>
    <t>Powiatowy Inspektorat Nadzoru Budowlanego w Goleniowie</t>
  </si>
  <si>
    <t>71095</t>
  </si>
  <si>
    <t>Pozostała działalnośc</t>
  </si>
  <si>
    <t>ADMINISTRACJA PUBLICZNA</t>
  </si>
  <si>
    <t>752</t>
  </si>
  <si>
    <t>75224</t>
  </si>
  <si>
    <t>Wydział Kadr i Administracji</t>
  </si>
  <si>
    <t>75295</t>
  </si>
  <si>
    <t>Komenda Powiatowa Państwowej Straży Pożarnej w Goleniowie</t>
  </si>
  <si>
    <t>BEZPIECZEŃSTWO PUBLICZNE I OCHRONA PRZECIWPOŻAROWA</t>
  </si>
  <si>
    <t>801</t>
  </si>
  <si>
    <t>80153</t>
  </si>
  <si>
    <t>Zapewnienie uczniom prawa do bezpłatnego dostepu do podręczników, materiałów edukacyjnych lub materiałów ćwiczeniowych</t>
  </si>
  <si>
    <t>Wydział Oświaty, Kultury i Sportu</t>
  </si>
  <si>
    <t>ZSS</t>
  </si>
  <si>
    <t>OCHRONA ZDROWIA</t>
  </si>
  <si>
    <t>Składki na ubezpieczenia zdrowotne oraz świadczenia dla osób nie objętych obowiązkiem ubezpieczenia zdrowotnego</t>
  </si>
  <si>
    <t>85195</t>
  </si>
  <si>
    <t>PCPR W GOLENIOWIE</t>
  </si>
  <si>
    <t>852</t>
  </si>
  <si>
    <t>Powiatowe Centrum Pomocy Rodzinie w Goleniowie</t>
  </si>
  <si>
    <t>85205</t>
  </si>
  <si>
    <t>853</t>
  </si>
  <si>
    <t>POZOSTAŁE ZADANIA W ZAKRESIE  POLITYKI SPOŁECZNEJ</t>
  </si>
  <si>
    <t>Zespoły do spraw orzekania o  niepełnosprawności</t>
  </si>
  <si>
    <t xml:space="preserve">Załącznik Nr 4 </t>
  </si>
  <si>
    <t xml:space="preserve">wg.przyznanej dotacji </t>
  </si>
  <si>
    <t>710</t>
  </si>
  <si>
    <t>Oświata i Wychowanie</t>
  </si>
  <si>
    <t>80195</t>
  </si>
  <si>
    <t>PORADNIA PSYCHOLOGICZNO-PEDAGOGICZNA W GOLENIOWIE</t>
  </si>
  <si>
    <t>Realizcja programu pn. „Poznaj Polskę”,</t>
  </si>
  <si>
    <t xml:space="preserve">Załącznik Nr 5 </t>
  </si>
  <si>
    <t>60014</t>
  </si>
  <si>
    <t>Paragraf</t>
  </si>
  <si>
    <t>Zadanie</t>
  </si>
  <si>
    <t>Dochód / Wydatek</t>
  </si>
  <si>
    <t>Kod dysponenta</t>
  </si>
  <si>
    <t>Rodzaj zadania</t>
  </si>
  <si>
    <t>Plan dochodu</t>
  </si>
  <si>
    <t>Plan wydatku</t>
  </si>
  <si>
    <t>Wykonanie dochodu</t>
  </si>
  <si>
    <t>Wykonanie wydatku</t>
  </si>
  <si>
    <t>Opis dysponenta</t>
  </si>
  <si>
    <t>211000</t>
  </si>
  <si>
    <t>N</t>
  </si>
  <si>
    <t>D</t>
  </si>
  <si>
    <t>01</t>
  </si>
  <si>
    <t>ORGAN</t>
  </si>
  <si>
    <t>600</t>
  </si>
  <si>
    <t>064000</t>
  </si>
  <si>
    <t>02</t>
  </si>
  <si>
    <t>WYDZ.FINANSOWY-JEDNOSTKA</t>
  </si>
  <si>
    <t>087000</t>
  </si>
  <si>
    <t>76</t>
  </si>
  <si>
    <t>WYDZIAŁ DRÓG POWIATOWYCH I INWESTYCJI</t>
  </si>
  <si>
    <t>092000</t>
  </si>
  <si>
    <t>03</t>
  </si>
  <si>
    <t>WYDZIAŁ ADMINISTRACJI I BEZPIECZENSTWA</t>
  </si>
  <si>
    <t>094000</t>
  </si>
  <si>
    <t>095000</t>
  </si>
  <si>
    <t>097000</t>
  </si>
  <si>
    <t>T</t>
  </si>
  <si>
    <t>629000</t>
  </si>
  <si>
    <t>630000</t>
  </si>
  <si>
    <t>637000</t>
  </si>
  <si>
    <t>77</t>
  </si>
  <si>
    <t>PRZEBUDOWA DROGI POWIATOWEJ NR 4156Z S6 BODZĘCIN</t>
  </si>
  <si>
    <t>56</t>
  </si>
  <si>
    <t>PRZEBUDOWA DROGI POWIATOWEJ 4101Z PUCICE-CZARNA ŁAKA</t>
  </si>
  <si>
    <t>661000</t>
  </si>
  <si>
    <t>049000</t>
  </si>
  <si>
    <t>700</t>
  </si>
  <si>
    <t>70005</t>
  </si>
  <si>
    <t>047000</t>
  </si>
  <si>
    <t>05</t>
  </si>
  <si>
    <t>WYDZIAŁ GOSPODARKI NIERUCHOMOŚCIAMI</t>
  </si>
  <si>
    <t>063000</t>
  </si>
  <si>
    <t>075000</t>
  </si>
  <si>
    <t>077000</t>
  </si>
  <si>
    <t>236000</t>
  </si>
  <si>
    <t>427000</t>
  </si>
  <si>
    <t>70095</t>
  </si>
  <si>
    <t>98</t>
  </si>
  <si>
    <t>WYDZIAŁ GEODEZJI KARTOGRAFII I KATASTRU</t>
  </si>
  <si>
    <t>71015</t>
  </si>
  <si>
    <t>67</t>
  </si>
  <si>
    <t>205700</t>
  </si>
  <si>
    <t>205900</t>
  </si>
  <si>
    <t>750</t>
  </si>
  <si>
    <t>75011</t>
  </si>
  <si>
    <t>75020</t>
  </si>
  <si>
    <t>04</t>
  </si>
  <si>
    <t>WYDZIAŁ KOMUNIKACJI</t>
  </si>
  <si>
    <t>069000</t>
  </si>
  <si>
    <t>083000</t>
  </si>
  <si>
    <t>096000</t>
  </si>
  <si>
    <t>75095</t>
  </si>
  <si>
    <t>212000</t>
  </si>
  <si>
    <t>P</t>
  </si>
  <si>
    <t>754</t>
  </si>
  <si>
    <t>75411</t>
  </si>
  <si>
    <t>090000</t>
  </si>
  <si>
    <t>042000</t>
  </si>
  <si>
    <t>12</t>
  </si>
  <si>
    <t>046000</t>
  </si>
  <si>
    <t>19</t>
  </si>
  <si>
    <t>WYDZIAŁ OCHRONY ŚRODOWISKA,ROLNICTWA I LEŚNICTWA</t>
  </si>
  <si>
    <t>057000</t>
  </si>
  <si>
    <t>058000</t>
  </si>
  <si>
    <t>059000</t>
  </si>
  <si>
    <t>061000</t>
  </si>
  <si>
    <t>062000</t>
  </si>
  <si>
    <t>065000</t>
  </si>
  <si>
    <t>75622</t>
  </si>
  <si>
    <t>001000</t>
  </si>
  <si>
    <t>002000</t>
  </si>
  <si>
    <t>758</t>
  </si>
  <si>
    <t>292000</t>
  </si>
  <si>
    <t>75802</t>
  </si>
  <si>
    <t>62</t>
  </si>
  <si>
    <t>PINB W GOLENIOWIE</t>
  </si>
  <si>
    <t>69</t>
  </si>
  <si>
    <t>DOM POMOCY SPOŁECZNEJ W NOWOGARDZIE</t>
  </si>
  <si>
    <t>74</t>
  </si>
  <si>
    <t>Centrum Obsługi Placówek Opiek-Wychowawczych w Gol</t>
  </si>
  <si>
    <t>55</t>
  </si>
  <si>
    <t>SPTDMIR W NOWOGARDZIE</t>
  </si>
  <si>
    <t>61</t>
  </si>
  <si>
    <t>KP PSP W GOLENIOWIE</t>
  </si>
  <si>
    <t>60</t>
  </si>
  <si>
    <t>POWIATOWY URZĄD PRACY W GOLENIOWIE</t>
  </si>
  <si>
    <t>58</t>
  </si>
  <si>
    <t>54</t>
  </si>
  <si>
    <t>53</t>
  </si>
  <si>
    <t>SZKOŁA MUZYCZNA I STOPNIA W GOLENIOWIE</t>
  </si>
  <si>
    <t>52</t>
  </si>
  <si>
    <t>ZESPÓŁ SZKÓŁ NR 1 W GOLENIOWIE</t>
  </si>
  <si>
    <t>50</t>
  </si>
  <si>
    <t>ZESPÓŁ SZKÓŁ NR 1 W NOWOGARDZIE</t>
  </si>
  <si>
    <t>49</t>
  </si>
  <si>
    <t>SPECJALNY OŚRODEK SZKOLNO-WYCHOWAWCZY W NOWOGARDZI</t>
  </si>
  <si>
    <t>48</t>
  </si>
  <si>
    <t>ZESPÓŁ SZKÓŁ SPECJALNYCH W GOLENIOWIE</t>
  </si>
  <si>
    <t>47</t>
  </si>
  <si>
    <t>I LO W NOWOGARDZIE</t>
  </si>
  <si>
    <t>210000</t>
  </si>
  <si>
    <t>65</t>
  </si>
  <si>
    <t>FUNDUSZ POMOCY UKRAINA</t>
  </si>
  <si>
    <t>75815</t>
  </si>
  <si>
    <t>298000</t>
  </si>
  <si>
    <t>80102</t>
  </si>
  <si>
    <t>213000</t>
  </si>
  <si>
    <t>40</t>
  </si>
  <si>
    <t>WYDZIAŁ OŚWIATY,KULTURY I SPORTU</t>
  </si>
  <si>
    <t>80120</t>
  </si>
  <si>
    <t>80132</t>
  </si>
  <si>
    <t>851</t>
  </si>
  <si>
    <t>290000</t>
  </si>
  <si>
    <t>85156</t>
  </si>
  <si>
    <t>85202</t>
  </si>
  <si>
    <t>084000</t>
  </si>
  <si>
    <t>85220</t>
  </si>
  <si>
    <t>271000</t>
  </si>
  <si>
    <t>85311</t>
  </si>
  <si>
    <t>232000</t>
  </si>
  <si>
    <t>68</t>
  </si>
  <si>
    <t>POWIAT ŁOBEZ</t>
  </si>
  <si>
    <t>85324</t>
  </si>
  <si>
    <t>85333</t>
  </si>
  <si>
    <t>269000</t>
  </si>
  <si>
    <t>854</t>
  </si>
  <si>
    <t>85403</t>
  </si>
  <si>
    <t>85406</t>
  </si>
  <si>
    <t>85410</t>
  </si>
  <si>
    <t>430000</t>
  </si>
  <si>
    <t>068000</t>
  </si>
  <si>
    <t>926</t>
  </si>
  <si>
    <t>92601</t>
  </si>
  <si>
    <t>92695</t>
  </si>
  <si>
    <t>303000</t>
  </si>
  <si>
    <t>231000</t>
  </si>
  <si>
    <t>23</t>
  </si>
  <si>
    <t>GMINA GOLENIÓW</t>
  </si>
  <si>
    <t>24</t>
  </si>
  <si>
    <t>GMINA NOWOGARD</t>
  </si>
  <si>
    <t>302000</t>
  </si>
  <si>
    <t>305000</t>
  </si>
  <si>
    <t>401000</t>
  </si>
  <si>
    <t>404000</t>
  </si>
  <si>
    <t>411000</t>
  </si>
  <si>
    <t>412000</t>
  </si>
  <si>
    <t>417000</t>
  </si>
  <si>
    <t>421000</t>
  </si>
  <si>
    <t>422000</t>
  </si>
  <si>
    <t>426000</t>
  </si>
  <si>
    <t>428000</t>
  </si>
  <si>
    <t>436000</t>
  </si>
  <si>
    <t>441000</t>
  </si>
  <si>
    <t>443000</t>
  </si>
  <si>
    <t>444000</t>
  </si>
  <si>
    <t>450000</t>
  </si>
  <si>
    <t>451000</t>
  </si>
  <si>
    <t>453000</t>
  </si>
  <si>
    <t>461000</t>
  </si>
  <si>
    <t>470000</t>
  </si>
  <si>
    <t>605000</t>
  </si>
  <si>
    <t>606000</t>
  </si>
  <si>
    <t>78</t>
  </si>
  <si>
    <t>GMINA OSINA</t>
  </si>
  <si>
    <t>440000</t>
  </si>
  <si>
    <t>448000</t>
  </si>
  <si>
    <t>452000</t>
  </si>
  <si>
    <t>471000</t>
  </si>
  <si>
    <t>402000</t>
  </si>
  <si>
    <t>271900</t>
  </si>
  <si>
    <t>430700</t>
  </si>
  <si>
    <t>430900</t>
  </si>
  <si>
    <t>75019</t>
  </si>
  <si>
    <t>414000</t>
  </si>
  <si>
    <t>421700</t>
  </si>
  <si>
    <t>18</t>
  </si>
  <si>
    <t>CYFROWA GMINA W RAMACH EFRR POLSKA CYFROWA</t>
  </si>
  <si>
    <t>438000</t>
  </si>
  <si>
    <t>439000</t>
  </si>
  <si>
    <t>442000</t>
  </si>
  <si>
    <t>458000</t>
  </si>
  <si>
    <t>459000</t>
  </si>
  <si>
    <t>470700</t>
  </si>
  <si>
    <t>606700</t>
  </si>
  <si>
    <t>75075</t>
  </si>
  <si>
    <t>421900</t>
  </si>
  <si>
    <t>307000</t>
  </si>
  <si>
    <t>405000</t>
  </si>
  <si>
    <t>406000</t>
  </si>
  <si>
    <t>407000</t>
  </si>
  <si>
    <t>408000</t>
  </si>
  <si>
    <t>418000</t>
  </si>
  <si>
    <t>75421</t>
  </si>
  <si>
    <t>75495</t>
  </si>
  <si>
    <t>757</t>
  </si>
  <si>
    <t>75702</t>
  </si>
  <si>
    <t>809000</t>
  </si>
  <si>
    <t>811000</t>
  </si>
  <si>
    <t>75818</t>
  </si>
  <si>
    <t>481000</t>
  </si>
  <si>
    <t>A2</t>
  </si>
  <si>
    <t>rezerwa celowa na zadania z pomocy społecznej</t>
  </si>
  <si>
    <t>A3</t>
  </si>
  <si>
    <t>rezerwa celowa na zarządzanie kryzysowe</t>
  </si>
  <si>
    <t>A1</t>
  </si>
  <si>
    <t>rezerwa celowa na zadania oświatowe</t>
  </si>
  <si>
    <t>64</t>
  </si>
  <si>
    <t>WF-rezerwa ogólna</t>
  </si>
  <si>
    <t>680000</t>
  </si>
  <si>
    <t>435000</t>
  </si>
  <si>
    <t>437000</t>
  </si>
  <si>
    <t>474000</t>
  </si>
  <si>
    <t>475000</t>
  </si>
  <si>
    <t>479000</t>
  </si>
  <si>
    <t>480000</t>
  </si>
  <si>
    <t>485000</t>
  </si>
  <si>
    <t>486000</t>
  </si>
  <si>
    <t>424000</t>
  </si>
  <si>
    <t>254000</t>
  </si>
  <si>
    <t>70</t>
  </si>
  <si>
    <t>BRANŻOWA SZKOŁA I STOPNIA JEDNOŚCI NARODOWEJ MASZEWO</t>
  </si>
  <si>
    <t>259000</t>
  </si>
  <si>
    <t>90</t>
  </si>
  <si>
    <t>PUBLICZNE LO GOLENIÓW UL. SZKOLNA 13</t>
  </si>
  <si>
    <t>80146</t>
  </si>
  <si>
    <t>295000</t>
  </si>
  <si>
    <t>324700</t>
  </si>
  <si>
    <t>423000</t>
  </si>
  <si>
    <t>478000</t>
  </si>
  <si>
    <t>85218</t>
  </si>
  <si>
    <t>85295</t>
  </si>
  <si>
    <t>258000</t>
  </si>
  <si>
    <t>43</t>
  </si>
  <si>
    <t>POWIATOWY ZESPÓŁ DO SPRAW ORZEKANIA O NIEPEŁONSPR.</t>
  </si>
  <si>
    <t>484000</t>
  </si>
  <si>
    <t>311000</t>
  </si>
  <si>
    <t>401700</t>
  </si>
  <si>
    <t>401900</t>
  </si>
  <si>
    <t>411700</t>
  </si>
  <si>
    <t>411900</t>
  </si>
  <si>
    <t>412700</t>
  </si>
  <si>
    <t>412900</t>
  </si>
  <si>
    <t>417700</t>
  </si>
  <si>
    <t>417900</t>
  </si>
  <si>
    <t>441700</t>
  </si>
  <si>
    <t>441900</t>
  </si>
  <si>
    <t>89</t>
  </si>
  <si>
    <t>Osrodek Reh-Edukacyjno-Wychow w Przybiernowie</t>
  </si>
  <si>
    <t>85</t>
  </si>
  <si>
    <t>OŚRODEK PROFI-MED W GOLENIOWIE</t>
  </si>
  <si>
    <t>324000</t>
  </si>
  <si>
    <t>85419</t>
  </si>
  <si>
    <t>85446</t>
  </si>
  <si>
    <t>85495</t>
  </si>
  <si>
    <t>94</t>
  </si>
  <si>
    <t>POWIAT BRZESKI</t>
  </si>
  <si>
    <t>00</t>
  </si>
  <si>
    <t>POWIAT SZAMOTULSKI</t>
  </si>
  <si>
    <t>433000</t>
  </si>
  <si>
    <t>311900</t>
  </si>
  <si>
    <t>921</t>
  </si>
  <si>
    <t>92116</t>
  </si>
  <si>
    <t>wydatki unijne</t>
  </si>
  <si>
    <t>Cyfrowa Gmina projekt Unijny</t>
  </si>
  <si>
    <t>SP w Goleniowie wspiera praxcowników</t>
  </si>
  <si>
    <t>Wydział Gospodarki Nieruchomościami</t>
  </si>
  <si>
    <t>Powiat Brzeski</t>
  </si>
  <si>
    <t>Powiat Szamotulski</t>
  </si>
  <si>
    <t>6290</t>
  </si>
  <si>
    <t>2100</t>
  </si>
  <si>
    <t>Środki na dofinansowanie własnych inwestycji powiatu pozyskane z innych źródeł</t>
  </si>
  <si>
    <t>Poprawa infrastruktury szpitalnej wraz z pierwszym wyposażeniem pod potrzeby nowo tworzonego Domu Pomocy Społecznej</t>
  </si>
  <si>
    <t>99</t>
  </si>
  <si>
    <t>PRZEBUDOWA 3118Z  O DŁUGOŚCI 2,4 KM</t>
  </si>
  <si>
    <t>751</t>
  </si>
  <si>
    <t>75109</t>
  </si>
  <si>
    <t>13</t>
  </si>
  <si>
    <t>PRZEBUDOWA MOSTU PRZEZ RZEKĘ STEPNICA  NR DROGI 4156Z BODZĘCIN</t>
  </si>
  <si>
    <t>10</t>
  </si>
  <si>
    <t>MOBILNOŚĆ EDUKACYJNA SZANSĄ NA ROZWÓJ UMIEJĘTNOŚCI ZAWODOWYCH ERASMUS+</t>
  </si>
  <si>
    <t>22</t>
  </si>
  <si>
    <t>QUIDQUID DISCIS, TIBI DISCIS</t>
  </si>
  <si>
    <t>625700</t>
  </si>
  <si>
    <t>625900</t>
  </si>
  <si>
    <t>36</t>
  </si>
  <si>
    <t>POPRAWA INFRASTRUKTURYSZPITALNEJ WRAZ Z PIERWSZYM WYPOSAŻENIEM NA POTRZEBY NOWO TWORZONEGO DPS</t>
  </si>
  <si>
    <t>87</t>
  </si>
  <si>
    <t>RODZINNE HARMONIE PROJEKT EFS</t>
  </si>
  <si>
    <t>21</t>
  </si>
  <si>
    <t>PROJEKT FEPZ VOUCHER ZATRUDNIENIOWY</t>
  </si>
  <si>
    <t>82</t>
  </si>
  <si>
    <t>REGIONALNE CENTYRUM KRYZYSOWE PROJEKT EFS</t>
  </si>
  <si>
    <t>06</t>
  </si>
  <si>
    <t>MIASTO SZCZECIN</t>
  </si>
  <si>
    <t>91</t>
  </si>
  <si>
    <t>PRZEBUDOWA ODCINKA DROGI POWIATOWEJ 4161Z WRAZ Z INFRASTRUKTURĄ TOWARZYSZĄCĄ KIKORZE-OSINA</t>
  </si>
  <si>
    <t>88</t>
  </si>
  <si>
    <t>PRZEBUDOWA ODCINKA DROGI POWIATOWEJ 4161Z WRAZ Z INFRASTRUKTÓRĄ TOWARZYSZĄCĄ OSINA-REDŁO</t>
  </si>
  <si>
    <t>60017</t>
  </si>
  <si>
    <t>457000</t>
  </si>
  <si>
    <t>617000</t>
  </si>
  <si>
    <t>C6</t>
  </si>
  <si>
    <t>Miasto Zielona Góra</t>
  </si>
  <si>
    <t>26</t>
  </si>
  <si>
    <t>MODERNIZACJA DACHU I LO W NOWOGARDZIE</t>
  </si>
  <si>
    <t>303700</t>
  </si>
  <si>
    <t>424700</t>
  </si>
  <si>
    <t>424900</t>
  </si>
  <si>
    <t>430100</t>
  </si>
  <si>
    <t>479700</t>
  </si>
  <si>
    <t>479900</t>
  </si>
  <si>
    <t>606900</t>
  </si>
  <si>
    <t>75</t>
  </si>
  <si>
    <t>200700</t>
  </si>
  <si>
    <t>440700</t>
  </si>
  <si>
    <t>440900</t>
  </si>
  <si>
    <t>86</t>
  </si>
  <si>
    <t>328000</t>
  </si>
  <si>
    <t>436700</t>
  </si>
  <si>
    <t>436900</t>
  </si>
  <si>
    <t>na 2025 r.</t>
  </si>
  <si>
    <t>Budżet w 2024 r.</t>
  </si>
  <si>
    <t>Budżet na 2025 r.</t>
  </si>
  <si>
    <t>wydatki jednorazowe 2024</t>
  </si>
  <si>
    <t>Drogi wewnętrzne</t>
  </si>
  <si>
    <t>PUP w Goleniowie</t>
  </si>
  <si>
    <t>Poprawa infrastruktury szpitalnej wraz z pierwszym wyposażeniem pod potrzeby  nowo tworzonego Domu Pomocy Społecznej</t>
  </si>
  <si>
    <t>dotacja</t>
  </si>
  <si>
    <t>Jednostka organizacyjna</t>
  </si>
  <si>
    <t>Cyberbezpieczny Samorząd -</t>
  </si>
  <si>
    <t>D+K631+A7:J594</t>
  </si>
  <si>
    <t>Przewidywane wykonanie</t>
  </si>
  <si>
    <t>Wpływy z opłat za zezwoloenia</t>
  </si>
  <si>
    <t>Wpływ z tytułu pomocy finansowej udzielonej między jednostkami samorządu terytorialnego na dofinansowanie własnych zadań inwestycyjnych i zakupów inwestycyjnych</t>
  </si>
  <si>
    <t>2360</t>
  </si>
  <si>
    <t>Dochody samorządu terytorialnego związane z realizacją zadań z zakresu administracji rządowej oraz innych zadań zleconych ustawami</t>
  </si>
  <si>
    <t>Uzupełnienie Subwencji Ogólnej dla JST</t>
  </si>
  <si>
    <t>Środki z Funduszu Pomocy na finansowanie lub dofinansowanie zadań bieżących w zakresie pomocy obywatelom Ukrainy</t>
  </si>
  <si>
    <t>Wpływy z rozliczeń/zwrotów z lat ubjiegłych</t>
  </si>
  <si>
    <t>Wpływy ze sprzedaży składników majatkowych</t>
  </si>
  <si>
    <t>Wpływ z rozliczeń/zwrotów z lat ubiegłych</t>
  </si>
  <si>
    <t>Wpływy ze zwrotów dotacji wykorzystanych niezgodnie z przeznaczeniem lub pobranych w nadmiernej wysokości</t>
  </si>
  <si>
    <t>6257</t>
  </si>
  <si>
    <t>Dotacje celowe w ramach programów
finansowanych z udziałem środków
europejskich oraz środków o których mowa
w art.5 ust. 3 pkt 5 ustawy lub płatności w
ramach budżetu środków europejskich,
realizowanych przez jednostki samorządu
terytorialnego</t>
  </si>
  <si>
    <t>6259</t>
  </si>
  <si>
    <t>Środki z Funduszu Pracy otrzymane przez powiat z przeznaczeniem na wsparcie pieczy zastępczej</t>
  </si>
  <si>
    <t>ZADANIA ZLECONE z tego:</t>
  </si>
  <si>
    <t>ZADANIA ZLECONE BIEŻĄCE</t>
  </si>
  <si>
    <t>ZADANIA ZLECONE MAJĄTKOWE</t>
  </si>
  <si>
    <t>OGÓŁEM WYDATKI BIEŻĄCE</t>
  </si>
  <si>
    <t>Deficyt/nadwyżka operacyjna</t>
  </si>
  <si>
    <t>Wynik Budżetu</t>
  </si>
  <si>
    <t>plan po zmian.stan na dzień 30.09.24</t>
  </si>
  <si>
    <t>PROGNOZA W BUDŻECIE POWIATU GOLENIOWSKIEGO NA FINANSOWANIE ZADAŃ WŁASNYCH BIEŻĄCYCH W 2026 R.</t>
  </si>
  <si>
    <t>Budżet w 2025r.</t>
  </si>
  <si>
    <t>na 2026 r.</t>
  </si>
  <si>
    <t>Budżet na 2026 r.</t>
  </si>
  <si>
    <t>Wydział Promocji i Współpracy</t>
  </si>
  <si>
    <t>PRZEBUDOWA ULICY BOLESŁAWA CHROBREGO W PRZYBIERNOWIE (DP 4117Z) - ETAP I</t>
  </si>
  <si>
    <t>080000</t>
  </si>
  <si>
    <t>CYBERBEZPIECZNY SAMORZĄD</t>
  </si>
  <si>
    <t>276000</t>
  </si>
  <si>
    <t>299000</t>
  </si>
  <si>
    <t>668000</t>
  </si>
  <si>
    <t>75834</t>
  </si>
  <si>
    <t>75835</t>
  </si>
  <si>
    <t>79</t>
  </si>
  <si>
    <t>WZROST ATRAKCYJNOŚCI KSZTAŁCENIA ZAWODOWEGO FEPZ</t>
  </si>
  <si>
    <t>66</t>
  </si>
  <si>
    <t>MIĘDZYNARODOWY WYMIAR KSZTAŁCENIA ZAWODOWEGO ERASMUS</t>
  </si>
  <si>
    <t>32</t>
  </si>
  <si>
    <t>RZĄDOWY PROGRAM WSPARCIA PIECZY ZASTĘPCZEJ- FUNDUSZ PRACY</t>
  </si>
  <si>
    <t>091000</t>
  </si>
  <si>
    <t>605700</t>
  </si>
  <si>
    <t>75023</t>
  </si>
  <si>
    <t>669000</t>
  </si>
  <si>
    <t>75404</t>
  </si>
  <si>
    <t>31</t>
  </si>
  <si>
    <t>NIEPUBLICZNA SZKOŁA PODSTAWOWA SPECJALNA SENSORIA</t>
  </si>
  <si>
    <t>C2</t>
  </si>
  <si>
    <t>111</t>
  </si>
  <si>
    <t>283000</t>
  </si>
  <si>
    <t>200900</t>
  </si>
  <si>
    <t>303900</t>
  </si>
  <si>
    <t>326700</t>
  </si>
  <si>
    <t>326900</t>
  </si>
  <si>
    <t>471700</t>
  </si>
  <si>
    <t>471900</t>
  </si>
  <si>
    <t>605900</t>
  </si>
  <si>
    <t>601000</t>
  </si>
  <si>
    <t>85278</t>
  </si>
  <si>
    <t>404700</t>
  </si>
  <si>
    <t>404900</t>
  </si>
  <si>
    <t>444700</t>
  </si>
  <si>
    <t>444900</t>
  </si>
  <si>
    <t>C3</t>
  </si>
  <si>
    <t>NIEPUBLICZNA PORADNIA PSYCHOLOGICZNO PEDAGOGICZNA  PROGRESJA NOWOGARD</t>
  </si>
  <si>
    <t>329000</t>
  </si>
  <si>
    <t>Budżet w 2025 r.</t>
  </si>
  <si>
    <t>Projekt budżetu na 
2026 r.</t>
  </si>
  <si>
    <t>Plan na 2026 r.</t>
  </si>
  <si>
    <t>PROGNOZA DOCHODÓW W BUDŻECIE POWIATU GOLENIOWSKIEGO NA 2026 R.</t>
  </si>
  <si>
    <t>2760</t>
  </si>
  <si>
    <t>Środki na uzupełnienie dochodów powiatów</t>
  </si>
  <si>
    <t>71013</t>
  </si>
  <si>
    <t>WZROST ATRAKCYJNOŚCI KSZTAŁCENIA ZAWODOWEGO FEPZ- ZS nr 1 w Goleniowie</t>
  </si>
  <si>
    <t xml:space="preserve">Nowe kwalifikacje - kompleksowy program wsparcia uczniów i nauczycieli szkół kształcących zawodowo na terenie IIT Powiatu Goleniowskiego </t>
  </si>
  <si>
    <t>Nowe kwalifikacje - kompleksowy program wsparcia uczniów i nauczycieli szkół kształcących zawodowo na terenie IIT Powiatu Goleniowskiego - ZS nr 1 w Nowogardzie</t>
  </si>
  <si>
    <t>Wariant wynikający ze złożonych wniosków na 2026 r.</t>
  </si>
  <si>
    <t>Wariant możliwy do realizacji na 2026 r.</t>
  </si>
  <si>
    <t>PROGNOZA W BUDŻECIE POWIATU GOLENIOWSKIEGO NA FINANSOWANIE WYBRANYCH PRZEZ ZARZĄD POWIATU ZADAŃ INWESTYCYJNYCH  WŁASNYCH W 2026 R.</t>
  </si>
  <si>
    <t>wydatki jednorazowe 2025</t>
  </si>
  <si>
    <t>Platności 2025 r. planowane do zapłacenia w roku 2026</t>
  </si>
  <si>
    <t>Starostwo Powiatowe w Goleniowie</t>
  </si>
  <si>
    <t>Cyberbezpieczny Samorząd</t>
  </si>
  <si>
    <t>Sportowa Polska</t>
  </si>
  <si>
    <t>75704</t>
  </si>
  <si>
    <t>Rozliczenia z tytułu poręczeń i gwarancji udzielonych przz Skarb Państwa lub jednostkę samorządu terytorialnego</t>
  </si>
  <si>
    <t>wypłaty z tytułu krajowych poręczen i gwarancji</t>
  </si>
  <si>
    <t>PRZYCHODY</t>
  </si>
  <si>
    <t>OGÓŁEM DOCHODY BIEZĄCE</t>
  </si>
  <si>
    <t>Wpływy z najmu i dzierżawy składników majątkowych Skarbu Państwa, jednostek samorządu terytorialnego lub innych jednostek zaliczanych do sektora finansów publicznych oraz innych umów o podobnym charakterze</t>
  </si>
  <si>
    <t>Przebudowa drzogi powiatowej nr 4305Z w m. Kulice wraz z budową ciągu pieszo-rowerowego</t>
  </si>
  <si>
    <t>Opracowanie dokumentacji technicznej na przebudowę odcinka drogi powiatowej w miejscowości Kartlewo</t>
  </si>
  <si>
    <t>"Budowa ciągu pieszo rowerowego w ciągu drogi powiatowej nr 4305Z w miejscowości Kulice"</t>
  </si>
  <si>
    <t>Budowa chodnika wzdłuż drogi  powiatowej nr 4162Z  Maszewo</t>
  </si>
  <si>
    <t>koszty emisji, odsetki od kredytów i obligacji i spłata poręczeń</t>
  </si>
  <si>
    <t>Rezerwa inwestycyjna</t>
  </si>
  <si>
    <t xml:space="preserve">Opracowanie dokumentacji technicznej w Zespole Szkół Specjalnych w Goleniowie na wykonanie termomodernizacji zgodnie z audytem </t>
  </si>
  <si>
    <t xml:space="preserve">Opracowanie dokumentacji technicznej w Zespole Szkół nr 1 w Nowogardzie na wykonanie termomodernizacji zgodnie z audytem </t>
  </si>
  <si>
    <t>Objęcie udziałów</t>
  </si>
  <si>
    <t>Zakup sprzętu</t>
  </si>
  <si>
    <t>WDI</t>
  </si>
  <si>
    <t>WA</t>
  </si>
  <si>
    <t>Rozwój Infrastruktury Sportowej</t>
  </si>
  <si>
    <t xml:space="preserve">Opracowanie dokumentacji technicznej w SOSW w Nowogardzie na wykonanie termomodernizacji zgodnie z audytem </t>
  </si>
  <si>
    <t>Projekt budżetu na 2026 r.</t>
  </si>
  <si>
    <t>PROGNOZA W BUDŻECIE POWIATU GOLENIOWSKIEGO NA FINANSOWANIE ZADAŃ POWIERZONYCH  PRZEZ ADMINISTRACJĘ RZĄDOWĄ  I POWIERZONYCH PRZEZ JEDNOSTKI SAMORZĄDU TERYTORIALNEGO W 2026 ROK</t>
  </si>
  <si>
    <t>zadania inwestycyjne na 2026 r.</t>
  </si>
  <si>
    <t>Przebudowa odcinka drogi powiatowej nr 4128Z Śmięć-Stepniczka wraz z aktualizacją dokumentacji technicznej</t>
  </si>
  <si>
    <t>PROGNOZA W BUDŻECIE POWIATU GOLENIOWSKIEGO NA FINANSOWANIE ZADAŃ ZLECONYCH W 2026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</si>
</sst>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#,##0.00\ &quot;zł&quot;;\-#,##0.00\ &quot;zł&quot;"/>
    <numFmt numFmtId="43" formatCode="_-* #,##0.00_-;\-* #,##0.00_-;_-* &quot;-&quot;??_-;_-@_-"/>
    <numFmt numFmtId="164" formatCode="#,##0.00_ ;\-#,##0.00\ "/>
    <numFmt numFmtId="165" formatCode="0.0000%"/>
    <numFmt numFmtId="166" formatCode="_-* #,##0.00\ _z_ł_-;\-* #,##0.00\ _z_ł_-;_-* &quot;-&quot;??\ _z_ł_-;_-@_-"/>
  </numFmts>
  <fonts count="6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Times New Roman CE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b/>
      <sz val="10"/>
      <color theme="1"/>
      <name val="Times New Roman CE"/>
      <family val="1"/>
      <charset val="238"/>
    </font>
    <font>
      <sz val="10"/>
      <color rgb="FF0070C0"/>
      <name val="Times New Roman"/>
      <family val="1"/>
      <charset val="238"/>
    </font>
    <font>
      <sz val="8"/>
      <name val="Arial CE"/>
      <charset val="238"/>
    </font>
    <font>
      <sz val="8"/>
      <color rgb="FFFF0000"/>
      <name val="Arial CE"/>
      <charset val="238"/>
    </font>
    <font>
      <i/>
      <sz val="8"/>
      <name val="Arial CE"/>
      <family val="2"/>
      <charset val="238"/>
    </font>
    <font>
      <sz val="10"/>
      <color rgb="FFFF0000"/>
      <name val="Times New Roman CE"/>
      <charset val="238"/>
    </font>
    <font>
      <sz val="8"/>
      <name val="Arial CE"/>
      <family val="2"/>
      <charset val="238"/>
    </font>
    <font>
      <b/>
      <i/>
      <sz val="8"/>
      <name val="Arial CE"/>
      <charset val="238"/>
    </font>
    <font>
      <sz val="9"/>
      <name val="Arial CE"/>
      <charset val="238"/>
    </font>
    <font>
      <b/>
      <sz val="10"/>
      <name val="Times New Roman CE"/>
      <family val="1"/>
      <charset val="238"/>
    </font>
    <font>
      <sz val="12"/>
      <color indexed="8"/>
      <name val="Arial"/>
      <family val="2"/>
      <charset val="238"/>
    </font>
    <font>
      <sz val="10"/>
      <color indexed="12"/>
      <name val="Times New Roman CE"/>
      <family val="1"/>
      <charset val="238"/>
    </font>
    <font>
      <sz val="8.25"/>
      <name val="Arial"/>
      <family val="2"/>
      <charset val="238"/>
    </font>
    <font>
      <sz val="8.25"/>
      <color indexed="8"/>
      <name val="Arial"/>
      <family val="2"/>
      <charset val="238"/>
    </font>
    <font>
      <sz val="8.25"/>
      <color rgb="FFFF000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rgb="FF0070C0"/>
      <name val="Times New Roman CE"/>
      <charset val="238"/>
    </font>
    <font>
      <sz val="8.25"/>
      <color rgb="FF0070C0"/>
      <name val="Arial"/>
      <family val="2"/>
      <charset val="238"/>
    </font>
    <font>
      <b/>
      <sz val="8.25"/>
      <name val="Arial"/>
      <family val="2"/>
      <charset val="238"/>
    </font>
    <font>
      <b/>
      <sz val="8.25"/>
      <color indexed="8"/>
      <name val="Arial"/>
      <family val="2"/>
      <charset val="238"/>
    </font>
    <font>
      <b/>
      <i/>
      <sz val="10"/>
      <name val="Times New Roman"/>
      <family val="1"/>
      <charset val="238"/>
    </font>
    <font>
      <sz val="10"/>
      <color rgb="FF0070C0"/>
      <name val="Times New Roman CE"/>
      <family val="1"/>
      <charset val="238"/>
    </font>
    <font>
      <sz val="10"/>
      <name val="Times New Roman"/>
      <family val="1"/>
    </font>
    <font>
      <sz val="10"/>
      <name val="Times New Roman CE"/>
      <family val="1"/>
      <charset val="238"/>
    </font>
    <font>
      <sz val="10"/>
      <color rgb="FFFF0000"/>
      <name val="Times New Roman CE"/>
      <family val="1"/>
      <charset val="238"/>
    </font>
    <font>
      <b/>
      <i/>
      <sz val="10"/>
      <name val="Times New Roman"/>
      <family val="1"/>
    </font>
    <font>
      <sz val="8"/>
      <color indexed="12"/>
      <name val="Arial CE"/>
      <charset val="238"/>
    </font>
    <font>
      <sz val="8.25"/>
      <color theme="3" tint="0.39997558519241921"/>
      <name val="Arial"/>
      <family val="2"/>
      <charset val="238"/>
    </font>
    <font>
      <sz val="8"/>
      <color rgb="FF0070C0"/>
      <name val="Arial CE"/>
      <charset val="238"/>
    </font>
    <font>
      <b/>
      <sz val="10"/>
      <name val="Times New Roman CE"/>
      <charset val="238"/>
    </font>
    <font>
      <b/>
      <sz val="10"/>
      <color rgb="FFFF0000"/>
      <name val="Times New Roman CE"/>
      <charset val="238"/>
    </font>
    <font>
      <b/>
      <i/>
      <sz val="8.25"/>
      <color indexed="8"/>
      <name val="Arial"/>
      <family val="2"/>
      <charset val="238"/>
    </font>
    <font>
      <sz val="8.5"/>
      <color rgb="FF0070C0"/>
      <name val="Arial CE"/>
      <family val="2"/>
      <charset val="238"/>
    </font>
    <font>
      <sz val="8.5"/>
      <color rgb="FF0070C0"/>
      <name val="Arial CE"/>
      <charset val="238"/>
    </font>
    <font>
      <sz val="8.5"/>
      <color rgb="FF0070C0"/>
      <name val="Times New Roman CE"/>
      <charset val="238"/>
    </font>
    <font>
      <sz val="10"/>
      <name val="Arial"/>
      <family val="2"/>
      <charset val="238"/>
    </font>
    <font>
      <sz val="10"/>
      <name val="Tahoma"/>
      <family val="2"/>
      <charset val="238"/>
    </font>
    <font>
      <b/>
      <sz val="10"/>
      <color theme="1"/>
      <name val="Times New Roman CE"/>
      <charset val="238"/>
    </font>
    <font>
      <sz val="8.25"/>
      <color theme="1"/>
      <name val="Arial"/>
      <family val="2"/>
      <charset val="238"/>
    </font>
    <font>
      <b/>
      <sz val="12"/>
      <name val="Times New Roman CE"/>
      <charset val="238"/>
    </font>
    <font>
      <b/>
      <sz val="8"/>
      <name val="Arial CE"/>
      <charset val="238"/>
    </font>
    <font>
      <i/>
      <sz val="10"/>
      <name val="Times New Roman"/>
      <family val="1"/>
      <charset val="238"/>
    </font>
    <font>
      <sz val="10"/>
      <color indexed="10"/>
      <name val="Times New Roman CE"/>
      <family val="1"/>
      <charset val="238"/>
    </font>
    <font>
      <b/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2"/>
      <name val="Arial"/>
      <family val="2"/>
      <charset val="238"/>
    </font>
    <font>
      <sz val="10"/>
      <color theme="4"/>
      <name val="Times New Roman CE"/>
      <charset val="238"/>
    </font>
    <font>
      <sz val="8.5"/>
      <name val="Arial"/>
      <family val="2"/>
      <charset val="238"/>
    </font>
    <font>
      <sz val="8.5"/>
      <name val="Times New Roman CE"/>
      <family val="1"/>
      <charset val="238"/>
    </font>
    <font>
      <b/>
      <sz val="8.5"/>
      <name val="Times New Roman CE"/>
      <family val="1"/>
      <charset val="238"/>
    </font>
    <font>
      <sz val="8.5"/>
      <name val="Arial CE"/>
      <family val="2"/>
      <charset val="238"/>
    </font>
    <font>
      <sz val="11"/>
      <name val="Calibri"/>
      <family val="2"/>
      <charset val="238"/>
      <scheme val="minor"/>
    </font>
    <font>
      <sz val="10"/>
      <name val="Arial"/>
    </font>
    <font>
      <sz val="10"/>
      <name val="Tahoma"/>
      <charset val="1"/>
    </font>
    <font>
      <sz val="10"/>
      <name val="Arial CE"/>
      <family val="2"/>
      <charset val="238"/>
    </font>
    <font>
      <b/>
      <sz val="10"/>
      <name val="Czcionka tekstu podstawowego"/>
      <charset val="238"/>
    </font>
    <font>
      <sz val="8"/>
      <name val="Arial"/>
      <family val="2"/>
      <charset val="238"/>
    </font>
    <font>
      <b/>
      <sz val="10"/>
      <color rgb="FFFF0000"/>
      <name val="Times New Roman"/>
      <family val="1"/>
      <charset val="238"/>
    </font>
    <font>
      <sz val="10"/>
      <color indexed="8"/>
      <name val="Times New Roman"/>
      <family val="1"/>
      <charset val="238"/>
    </font>
    <font>
      <i/>
      <sz val="10"/>
      <name val="Arial"/>
      <family val="2"/>
      <charset val="238"/>
    </font>
    <font>
      <sz val="10"/>
      <color rgb="FFFF0000"/>
      <name val="Times New Roman"/>
      <family val="1"/>
      <charset val="238"/>
    </font>
  </fonts>
  <fills count="3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7"/>
        <bgColor indexed="0"/>
      </patternFill>
    </fill>
    <fill>
      <patternFill patternType="solid">
        <fgColor indexed="4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0"/>
      </patternFill>
    </fill>
    <fill>
      <patternFill patternType="solid">
        <fgColor indexed="42"/>
        <bgColor indexed="0"/>
      </patternFill>
    </fill>
    <fill>
      <patternFill patternType="solid">
        <fgColor indexed="13"/>
        <bgColor indexed="0"/>
      </patternFill>
    </fill>
    <fill>
      <patternFill patternType="solid">
        <fgColor theme="9" tint="0.39997558519241921"/>
        <bgColor indexed="0"/>
      </patternFill>
    </fill>
    <fill>
      <patternFill patternType="solid">
        <fgColor theme="9" tint="0.59999389629810485"/>
        <bgColor indexed="0"/>
      </patternFill>
    </fill>
    <fill>
      <patternFill patternType="solid">
        <fgColor indexed="26"/>
        <bgColor indexed="64"/>
      </patternFill>
    </fill>
    <fill>
      <patternFill patternType="solid">
        <fgColor indexed="61"/>
      </patternFill>
    </fill>
    <fill>
      <patternFill patternType="solid">
        <fgColor theme="5" tint="0.39997558519241921"/>
        <bgColor indexed="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indexed="0"/>
      </patternFill>
    </fill>
    <fill>
      <patternFill patternType="solid">
        <fgColor rgb="FF99FF6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AAE571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/>
      <right/>
      <top style="thin">
        <color indexed="63"/>
      </top>
      <bottom style="thin">
        <color indexed="63"/>
      </bottom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8">
    <xf numFmtId="0" fontId="0" fillId="0" borderId="0"/>
    <xf numFmtId="43" fontId="1" fillId="0" borderId="0" applyFont="0" applyFill="0" applyBorder="0" applyAlignment="0" applyProtection="0"/>
    <xf numFmtId="0" fontId="4" fillId="0" borderId="0"/>
    <xf numFmtId="0" fontId="5" fillId="0" borderId="0"/>
    <xf numFmtId="0" fontId="6" fillId="0" borderId="0"/>
    <xf numFmtId="0" fontId="4" fillId="0" borderId="0"/>
    <xf numFmtId="9" fontId="4" fillId="0" borderId="0" applyFont="0" applyFill="0" applyBorder="0" applyAlignment="0" applyProtection="0"/>
    <xf numFmtId="0" fontId="6" fillId="0" borderId="0"/>
    <xf numFmtId="0" fontId="4" fillId="0" borderId="0"/>
    <xf numFmtId="166" fontId="4" fillId="0" borderId="0" applyFont="0" applyFill="0" applyBorder="0" applyAlignment="0" applyProtection="0"/>
    <xf numFmtId="0" fontId="42" fillId="0" borderId="0"/>
    <xf numFmtId="0" fontId="6" fillId="0" borderId="0"/>
    <xf numFmtId="0" fontId="51" fillId="0" borderId="0"/>
    <xf numFmtId="9" fontId="1" fillId="0" borderId="0" applyFont="0" applyFill="0" applyBorder="0" applyAlignment="0" applyProtection="0"/>
    <xf numFmtId="0" fontId="51" fillId="0" borderId="0"/>
    <xf numFmtId="0" fontId="59" fillId="0" borderId="0"/>
    <xf numFmtId="43" fontId="1" fillId="0" borderId="0" applyFont="0" applyFill="0" applyBorder="0" applyAlignment="0" applyProtection="0"/>
    <xf numFmtId="0" fontId="5" fillId="0" borderId="0"/>
  </cellStyleXfs>
  <cellXfs count="714">
    <xf numFmtId="0" fontId="0" fillId="0" borderId="0" xfId="0"/>
    <xf numFmtId="0" fontId="2" fillId="0" borderId="0" xfId="0" applyFont="1"/>
    <xf numFmtId="0" fontId="2" fillId="0" borderId="6" xfId="0" applyFont="1" applyBorder="1" applyAlignment="1">
      <alignment horizontal="center" vertical="top"/>
    </xf>
    <xf numFmtId="49" fontId="2" fillId="0" borderId="12" xfId="0" applyNumberFormat="1" applyFont="1" applyBorder="1" applyAlignment="1" applyProtection="1">
      <alignment horizontal="center" vertical="center" wrapText="1"/>
      <protection locked="0"/>
    </xf>
    <xf numFmtId="49" fontId="2" fillId="0" borderId="6" xfId="0" applyNumberFormat="1" applyFont="1" applyBorder="1" applyAlignment="1" applyProtection="1">
      <alignment horizontal="center" vertical="center" wrapText="1"/>
      <protection locked="0"/>
    </xf>
    <xf numFmtId="49" fontId="2" fillId="8" borderId="12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14" xfId="0" applyNumberFormat="1" applyFont="1" applyBorder="1" applyAlignment="1" applyProtection="1">
      <alignment horizontal="center" vertical="center" wrapText="1"/>
      <protection locked="0"/>
    </xf>
    <xf numFmtId="0" fontId="3" fillId="0" borderId="12" xfId="0" applyFont="1" applyBorder="1" applyAlignment="1" applyProtection="1">
      <alignment horizontal="center" vertical="center" wrapText="1"/>
      <protection locked="0"/>
    </xf>
    <xf numFmtId="49" fontId="2" fillId="0" borderId="16" xfId="0" applyNumberFormat="1" applyFont="1" applyBorder="1" applyAlignment="1" applyProtection="1">
      <alignment horizontal="center" vertical="center" wrapText="1"/>
      <protection locked="0"/>
    </xf>
    <xf numFmtId="49" fontId="2" fillId="0" borderId="12" xfId="0" applyNumberFormat="1" applyFont="1" applyBorder="1" applyAlignment="1">
      <alignment vertical="top"/>
    </xf>
    <xf numFmtId="0" fontId="2" fillId="0" borderId="7" xfId="0" applyFont="1" applyBorder="1"/>
    <xf numFmtId="0" fontId="2" fillId="0" borderId="12" xfId="0" applyFont="1" applyBorder="1"/>
    <xf numFmtId="4" fontId="0" fillId="0" borderId="0" xfId="0" applyNumberFormat="1"/>
    <xf numFmtId="49" fontId="2" fillId="5" borderId="6" xfId="0" applyNumberFormat="1" applyFont="1" applyFill="1" applyBorder="1" applyAlignment="1" applyProtection="1">
      <alignment horizontal="center" vertical="center" wrapText="1"/>
      <protection locked="0"/>
    </xf>
    <xf numFmtId="49" fontId="2" fillId="7" borderId="6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5" applyAlignment="1">
      <alignment horizontal="center" vertical="center" wrapText="1"/>
    </xf>
    <xf numFmtId="4" fontId="4" fillId="0" borderId="0" xfId="5" applyNumberFormat="1" applyAlignment="1">
      <alignment horizontal="center" vertical="center" wrapText="1"/>
    </xf>
    <xf numFmtId="4" fontId="9" fillId="0" borderId="0" xfId="5" applyNumberFormat="1" applyFont="1"/>
    <xf numFmtId="0" fontId="4" fillId="0" borderId="0" xfId="5"/>
    <xf numFmtId="4" fontId="11" fillId="0" borderId="0" xfId="5" applyNumberFormat="1" applyFont="1" applyAlignment="1">
      <alignment horizontal="center" vertical="center" wrapText="1"/>
    </xf>
    <xf numFmtId="4" fontId="12" fillId="0" borderId="0" xfId="5" applyNumberFormat="1" applyFont="1"/>
    <xf numFmtId="3" fontId="4" fillId="0" borderId="0" xfId="5" applyNumberFormat="1" applyAlignment="1">
      <alignment horizontal="center" vertical="center" wrapText="1"/>
    </xf>
    <xf numFmtId="0" fontId="4" fillId="0" borderId="1" xfId="5" applyBorder="1" applyAlignment="1">
      <alignment horizontal="center" vertical="center" wrapText="1"/>
    </xf>
    <xf numFmtId="3" fontId="4" fillId="0" borderId="1" xfId="5" applyNumberFormat="1" applyBorder="1" applyAlignment="1">
      <alignment horizontal="center" vertical="center" wrapText="1"/>
    </xf>
    <xf numFmtId="4" fontId="4" fillId="0" borderId="1" xfId="5" applyNumberFormat="1" applyBorder="1" applyAlignment="1">
      <alignment horizontal="center" vertical="center" wrapText="1"/>
    </xf>
    <xf numFmtId="4" fontId="11" fillId="0" borderId="1" xfId="5" applyNumberFormat="1" applyFont="1" applyBorder="1" applyAlignment="1">
      <alignment horizontal="center" vertical="center" wrapText="1"/>
    </xf>
    <xf numFmtId="4" fontId="11" fillId="0" borderId="3" xfId="5" applyNumberFormat="1" applyFont="1" applyBorder="1" applyAlignment="1">
      <alignment horizontal="center" vertical="center" wrapText="1"/>
    </xf>
    <xf numFmtId="4" fontId="13" fillId="0" borderId="2" xfId="5" applyNumberFormat="1" applyFont="1" applyBorder="1" applyAlignment="1">
      <alignment horizontal="center" vertical="center" wrapText="1"/>
    </xf>
    <xf numFmtId="4" fontId="4" fillId="0" borderId="0" xfId="5" applyNumberFormat="1"/>
    <xf numFmtId="4" fontId="13" fillId="0" borderId="8" xfId="5" applyNumberFormat="1" applyFont="1" applyBorder="1" applyAlignment="1">
      <alignment horizontal="center" vertical="center" wrapText="1"/>
    </xf>
    <xf numFmtId="0" fontId="15" fillId="0" borderId="6" xfId="5" applyFont="1" applyBorder="1" applyAlignment="1">
      <alignment horizontal="center" vertical="top"/>
    </xf>
    <xf numFmtId="0" fontId="15" fillId="0" borderId="3" xfId="5" applyFont="1" applyBorder="1" applyAlignment="1">
      <alignment horizontal="center" vertical="top"/>
    </xf>
    <xf numFmtId="0" fontId="4" fillId="0" borderId="0" xfId="5" applyAlignment="1">
      <alignment horizontal="center" vertical="center"/>
    </xf>
    <xf numFmtId="49" fontId="16" fillId="3" borderId="6" xfId="5" applyNumberFormat="1" applyFont="1" applyFill="1" applyBorder="1" applyAlignment="1">
      <alignment horizontal="right" vertical="top"/>
    </xf>
    <xf numFmtId="49" fontId="16" fillId="0" borderId="6" xfId="5" applyNumberFormat="1" applyFont="1" applyBorder="1" applyAlignment="1">
      <alignment horizontal="center" vertical="top"/>
    </xf>
    <xf numFmtId="49" fontId="16" fillId="3" borderId="3" xfId="5" applyNumberFormat="1" applyFont="1" applyFill="1" applyBorder="1" applyAlignment="1">
      <alignment vertical="center" wrapText="1"/>
    </xf>
    <xf numFmtId="4" fontId="16" fillId="3" borderId="6" xfId="5" applyNumberFormat="1" applyFont="1" applyFill="1" applyBorder="1"/>
    <xf numFmtId="49" fontId="16" fillId="3" borderId="6" xfId="5" applyNumberFormat="1" applyFont="1" applyFill="1" applyBorder="1" applyAlignment="1">
      <alignment horizontal="center" vertical="top"/>
    </xf>
    <xf numFmtId="49" fontId="16" fillId="0" borderId="3" xfId="5" applyNumberFormat="1" applyFont="1" applyBorder="1" applyAlignment="1">
      <alignment vertical="center" wrapText="1"/>
    </xf>
    <xf numFmtId="4" fontId="16" fillId="0" borderId="6" xfId="5" applyNumberFormat="1" applyFont="1" applyBorder="1"/>
    <xf numFmtId="0" fontId="18" fillId="0" borderId="0" xfId="5" applyFont="1"/>
    <xf numFmtId="49" fontId="17" fillId="16" borderId="7" xfId="5" applyNumberFormat="1" applyFont="1" applyFill="1" applyBorder="1" applyAlignment="1" applyProtection="1">
      <alignment horizontal="center" vertical="center" wrapText="1"/>
      <protection locked="0"/>
    </xf>
    <xf numFmtId="49" fontId="16" fillId="2" borderId="3" xfId="5" applyNumberFormat="1" applyFont="1" applyFill="1" applyBorder="1" applyAlignment="1">
      <alignment vertical="center" wrapText="1"/>
    </xf>
    <xf numFmtId="4" fontId="16" fillId="2" borderId="6" xfId="5" applyNumberFormat="1" applyFont="1" applyFill="1" applyBorder="1"/>
    <xf numFmtId="0" fontId="4" fillId="0" borderId="3" xfId="5" applyBorder="1" applyAlignment="1">
      <alignment wrapText="1"/>
    </xf>
    <xf numFmtId="4" fontId="19" fillId="16" borderId="6" xfId="5" applyNumberFormat="1" applyFont="1" applyFill="1" applyBorder="1" applyAlignment="1" applyProtection="1">
      <alignment horizontal="right" vertical="center" wrapText="1"/>
      <protection locked="0"/>
    </xf>
    <xf numFmtId="4" fontId="20" fillId="16" borderId="6" xfId="5" applyNumberFormat="1" applyFont="1" applyFill="1" applyBorder="1" applyAlignment="1" applyProtection="1">
      <alignment horizontal="right" vertical="center" wrapText="1"/>
      <protection locked="0"/>
    </xf>
    <xf numFmtId="4" fontId="21" fillId="16" borderId="6" xfId="5" applyNumberFormat="1" applyFont="1" applyFill="1" applyBorder="1" applyAlignment="1" applyProtection="1">
      <alignment horizontal="right" vertical="center" wrapText="1"/>
      <protection locked="0"/>
    </xf>
    <xf numFmtId="0" fontId="22" fillId="0" borderId="0" xfId="5" applyFont="1" applyAlignment="1" applyProtection="1">
      <alignment horizontal="left"/>
      <protection locked="0"/>
    </xf>
    <xf numFmtId="49" fontId="2" fillId="0" borderId="3" xfId="5" applyNumberFormat="1" applyFont="1" applyBorder="1" applyAlignment="1">
      <alignment wrapText="1"/>
    </xf>
    <xf numFmtId="49" fontId="17" fillId="16" borderId="8" xfId="5" applyNumberFormat="1" applyFont="1" applyFill="1" applyBorder="1" applyAlignment="1" applyProtection="1">
      <alignment horizontal="center" vertical="center" wrapText="1"/>
      <protection locked="0"/>
    </xf>
    <xf numFmtId="49" fontId="17" fillId="16" borderId="2" xfId="5" applyNumberFormat="1" applyFont="1" applyFill="1" applyBorder="1" applyAlignment="1" applyProtection="1">
      <alignment vertical="center" wrapText="1"/>
      <protection locked="0"/>
    </xf>
    <xf numFmtId="49" fontId="17" fillId="16" borderId="7" xfId="5" applyNumberFormat="1" applyFont="1" applyFill="1" applyBorder="1" applyAlignment="1" applyProtection="1">
      <alignment vertical="center" wrapText="1"/>
      <protection locked="0"/>
    </xf>
    <xf numFmtId="49" fontId="16" fillId="0" borderId="7" xfId="5" applyNumberFormat="1" applyFont="1" applyBorder="1" applyAlignment="1">
      <alignment horizontal="center" vertical="top"/>
    </xf>
    <xf numFmtId="49" fontId="8" fillId="0" borderId="3" xfId="5" applyNumberFormat="1" applyFont="1" applyBorder="1" applyAlignment="1">
      <alignment wrapText="1"/>
    </xf>
    <xf numFmtId="4" fontId="20" fillId="0" borderId="6" xfId="5" applyNumberFormat="1" applyFont="1" applyBorder="1" applyAlignment="1" applyProtection="1">
      <alignment horizontal="right" vertical="center" wrapText="1"/>
      <protection locked="0"/>
    </xf>
    <xf numFmtId="0" fontId="23" fillId="0" borderId="3" xfId="5" applyFont="1" applyBorder="1" applyAlignment="1">
      <alignment wrapText="1"/>
    </xf>
    <xf numFmtId="4" fontId="24" fillId="16" borderId="6" xfId="5" applyNumberFormat="1" applyFont="1" applyFill="1" applyBorder="1" applyAlignment="1" applyProtection="1">
      <alignment horizontal="right" vertical="center" wrapText="1"/>
      <protection locked="0"/>
    </xf>
    <xf numFmtId="4" fontId="22" fillId="0" borderId="0" xfId="5" applyNumberFormat="1" applyFont="1" applyAlignment="1" applyProtection="1">
      <alignment horizontal="left"/>
      <protection locked="0"/>
    </xf>
    <xf numFmtId="49" fontId="2" fillId="17" borderId="3" xfId="5" applyNumberFormat="1" applyFont="1" applyFill="1" applyBorder="1" applyAlignment="1">
      <alignment wrapText="1"/>
    </xf>
    <xf numFmtId="4" fontId="24" fillId="18" borderId="6" xfId="5" applyNumberFormat="1" applyFont="1" applyFill="1" applyBorder="1" applyAlignment="1" applyProtection="1">
      <alignment horizontal="right" vertical="center" wrapText="1"/>
      <protection locked="0"/>
    </xf>
    <xf numFmtId="4" fontId="18" fillId="0" borderId="0" xfId="5" applyNumberFormat="1" applyFont="1"/>
    <xf numFmtId="49" fontId="16" fillId="0" borderId="2" xfId="5" applyNumberFormat="1" applyFont="1" applyBorder="1" applyAlignment="1">
      <alignment horizontal="center" vertical="top"/>
    </xf>
    <xf numFmtId="9" fontId="18" fillId="0" borderId="0" xfId="6" applyFont="1"/>
    <xf numFmtId="4" fontId="25" fillId="19" borderId="6" xfId="5" applyNumberFormat="1" applyFont="1" applyFill="1" applyBorder="1" applyAlignment="1" applyProtection="1">
      <alignment horizontal="right" vertical="center" wrapText="1"/>
      <protection locked="0"/>
    </xf>
    <xf numFmtId="4" fontId="19" fillId="0" borderId="6" xfId="5" applyNumberFormat="1" applyFont="1" applyBorder="1" applyAlignment="1" applyProtection="1">
      <alignment horizontal="right" vertical="center" wrapText="1"/>
      <protection locked="0"/>
    </xf>
    <xf numFmtId="49" fontId="16" fillId="3" borderId="14" xfId="5" applyNumberFormat="1" applyFont="1" applyFill="1" applyBorder="1" applyAlignment="1">
      <alignment vertical="center" wrapText="1"/>
    </xf>
    <xf numFmtId="49" fontId="17" fillId="16" borderId="23" xfId="5" applyNumberFormat="1" applyFont="1" applyFill="1" applyBorder="1" applyAlignment="1" applyProtection="1">
      <alignment horizontal="center" vertical="center" wrapText="1"/>
      <protection locked="0"/>
    </xf>
    <xf numFmtId="49" fontId="17" fillId="16" borderId="12" xfId="5" applyNumberFormat="1" applyFont="1" applyFill="1" applyBorder="1" applyAlignment="1" applyProtection="1">
      <alignment horizontal="center" vertical="center" wrapText="1"/>
      <protection locked="0"/>
    </xf>
    <xf numFmtId="49" fontId="20" fillId="16" borderId="12" xfId="5" applyNumberFormat="1" applyFont="1" applyFill="1" applyBorder="1" applyAlignment="1" applyProtection="1">
      <alignment horizontal="center" vertical="center" wrapText="1"/>
      <protection locked="0"/>
    </xf>
    <xf numFmtId="4" fontId="24" fillId="0" borderId="6" xfId="5" applyNumberFormat="1" applyFont="1" applyBorder="1" applyAlignment="1" applyProtection="1">
      <alignment horizontal="right" vertical="center" wrapText="1"/>
      <protection locked="0"/>
    </xf>
    <xf numFmtId="4" fontId="26" fillId="19" borderId="6" xfId="5" applyNumberFormat="1" applyFont="1" applyFill="1" applyBorder="1" applyAlignment="1" applyProtection="1">
      <alignment horizontal="right" vertical="center" wrapText="1"/>
      <protection locked="0"/>
    </xf>
    <xf numFmtId="0" fontId="4" fillId="0" borderId="8" xfId="5" applyBorder="1"/>
    <xf numFmtId="0" fontId="4" fillId="0" borderId="12" xfId="5" applyBorder="1"/>
    <xf numFmtId="0" fontId="6" fillId="0" borderId="0" xfId="7"/>
    <xf numFmtId="4" fontId="8" fillId="0" borderId="6" xfId="5" applyNumberFormat="1" applyFont="1" applyBorder="1"/>
    <xf numFmtId="49" fontId="3" fillId="3" borderId="6" xfId="7" applyNumberFormat="1" applyFont="1" applyFill="1" applyBorder="1" applyAlignment="1">
      <alignment horizontal="center" vertical="top"/>
    </xf>
    <xf numFmtId="0" fontId="27" fillId="0" borderId="23" xfId="7" applyFont="1" applyBorder="1" applyAlignment="1">
      <alignment vertical="center" wrapText="1"/>
    </xf>
    <xf numFmtId="4" fontId="27" fillId="0" borderId="6" xfId="7" applyNumberFormat="1" applyFont="1" applyBorder="1" applyAlignment="1">
      <alignment horizontal="right"/>
    </xf>
    <xf numFmtId="4" fontId="27" fillId="2" borderId="6" xfId="7" applyNumberFormat="1" applyFont="1" applyFill="1" applyBorder="1"/>
    <xf numFmtId="4" fontId="8" fillId="0" borderId="6" xfId="7" applyNumberFormat="1" applyFont="1" applyBorder="1"/>
    <xf numFmtId="49" fontId="16" fillId="0" borderId="8" xfId="5" applyNumberFormat="1" applyFont="1" applyBorder="1" applyAlignment="1">
      <alignment horizontal="center" vertical="top"/>
    </xf>
    <xf numFmtId="49" fontId="16" fillId="3" borderId="27" xfId="5" applyNumberFormat="1" applyFont="1" applyFill="1" applyBorder="1" applyAlignment="1">
      <alignment horizontal="center" vertical="top"/>
    </xf>
    <xf numFmtId="49" fontId="16" fillId="0" borderId="14" xfId="5" applyNumberFormat="1" applyFont="1" applyBorder="1" applyAlignment="1">
      <alignment vertical="center" wrapText="1"/>
    </xf>
    <xf numFmtId="49" fontId="16" fillId="0" borderId="25" xfId="5" applyNumberFormat="1" applyFont="1" applyBorder="1" applyAlignment="1">
      <alignment horizontal="center" vertical="top"/>
    </xf>
    <xf numFmtId="0" fontId="28" fillId="0" borderId="0" xfId="5" applyFont="1"/>
    <xf numFmtId="49" fontId="16" fillId="3" borderId="5" xfId="5" applyNumberFormat="1" applyFont="1" applyFill="1" applyBorder="1" applyAlignment="1">
      <alignment horizontal="center" vertical="top"/>
    </xf>
    <xf numFmtId="49" fontId="16" fillId="0" borderId="0" xfId="5" applyNumberFormat="1" applyFont="1" applyAlignment="1">
      <alignment horizontal="center" vertical="top"/>
    </xf>
    <xf numFmtId="4" fontId="8" fillId="0" borderId="8" xfId="5" applyNumberFormat="1" applyFont="1" applyBorder="1"/>
    <xf numFmtId="4" fontId="29" fillId="0" borderId="6" xfId="7" applyNumberFormat="1" applyFont="1" applyBorder="1"/>
    <xf numFmtId="4" fontId="23" fillId="0" borderId="6" xfId="2" applyNumberFormat="1" applyFont="1" applyBorder="1"/>
    <xf numFmtId="4" fontId="30" fillId="0" borderId="6" xfId="2" applyNumberFormat="1" applyFont="1" applyBorder="1"/>
    <xf numFmtId="4" fontId="4" fillId="0" borderId="6" xfId="2" applyNumberFormat="1" applyBorder="1"/>
    <xf numFmtId="49" fontId="16" fillId="0" borderId="7" xfId="5" applyNumberFormat="1" applyFont="1" applyBorder="1" applyAlignment="1">
      <alignment horizontal="right" vertical="top"/>
    </xf>
    <xf numFmtId="4" fontId="24" fillId="16" borderId="28" xfId="5" applyNumberFormat="1" applyFont="1" applyFill="1" applyBorder="1" applyAlignment="1" applyProtection="1">
      <alignment horizontal="right" vertical="center" wrapText="1"/>
      <protection locked="0"/>
    </xf>
    <xf numFmtId="4" fontId="21" fillId="16" borderId="28" xfId="5" applyNumberFormat="1" applyFont="1" applyFill="1" applyBorder="1" applyAlignment="1" applyProtection="1">
      <alignment horizontal="right" vertical="center" wrapText="1"/>
      <protection locked="0"/>
    </xf>
    <xf numFmtId="49" fontId="16" fillId="0" borderId="7" xfId="5" applyNumberFormat="1" applyFont="1" applyBorder="1" applyAlignment="1">
      <alignment vertical="top"/>
    </xf>
    <xf numFmtId="4" fontId="2" fillId="0" borderId="6" xfId="7" applyNumberFormat="1" applyFont="1" applyBorder="1"/>
    <xf numFmtId="0" fontId="23" fillId="0" borderId="6" xfId="5" applyFont="1" applyBorder="1" applyAlignment="1">
      <alignment wrapText="1"/>
    </xf>
    <xf numFmtId="4" fontId="24" fillId="16" borderId="25" xfId="5" applyNumberFormat="1" applyFont="1" applyFill="1" applyBorder="1" applyAlignment="1" applyProtection="1">
      <alignment horizontal="right" vertical="center" wrapText="1"/>
      <protection locked="0"/>
    </xf>
    <xf numFmtId="49" fontId="17" fillId="16" borderId="9" xfId="5" applyNumberFormat="1" applyFont="1" applyFill="1" applyBorder="1" applyAlignment="1" applyProtection="1">
      <alignment horizontal="center" vertical="center" wrapText="1"/>
      <protection locked="0"/>
    </xf>
    <xf numFmtId="49" fontId="3" fillId="0" borderId="7" xfId="7" applyNumberFormat="1" applyFont="1" applyBorder="1" applyAlignment="1">
      <alignment vertical="top"/>
    </xf>
    <xf numFmtId="0" fontId="32" fillId="2" borderId="6" xfId="7" applyFont="1" applyFill="1" applyBorder="1" applyAlignment="1">
      <alignment vertical="center" wrapText="1"/>
    </xf>
    <xf numFmtId="4" fontId="27" fillId="2" borderId="6" xfId="7" applyNumberFormat="1" applyFont="1" applyFill="1" applyBorder="1" applyAlignment="1">
      <alignment horizontal="right"/>
    </xf>
    <xf numFmtId="3" fontId="6" fillId="0" borderId="0" xfId="7" applyNumberFormat="1"/>
    <xf numFmtId="49" fontId="3" fillId="0" borderId="7" xfId="7" applyNumberFormat="1" applyFont="1" applyBorder="1" applyAlignment="1">
      <alignment horizontal="center" vertical="top"/>
    </xf>
    <xf numFmtId="0" fontId="23" fillId="0" borderId="6" xfId="8" applyFont="1" applyBorder="1" applyAlignment="1">
      <alignment wrapText="1"/>
    </xf>
    <xf numFmtId="3" fontId="4" fillId="0" borderId="0" xfId="8" applyNumberFormat="1" applyAlignment="1">
      <alignment horizontal="center" vertical="center"/>
    </xf>
    <xf numFmtId="0" fontId="4" fillId="0" borderId="0" xfId="8" applyAlignment="1">
      <alignment horizontal="center" vertical="center"/>
    </xf>
    <xf numFmtId="49" fontId="17" fillId="0" borderId="9" xfId="5" applyNumberFormat="1" applyFont="1" applyBorder="1" applyAlignment="1" applyProtection="1">
      <alignment horizontal="center" vertical="center" wrapText="1"/>
      <protection locked="0"/>
    </xf>
    <xf numFmtId="49" fontId="20" fillId="16" borderId="9" xfId="5" applyNumberFormat="1" applyFont="1" applyFill="1" applyBorder="1" applyAlignment="1" applyProtection="1">
      <alignment horizontal="center" vertical="center" wrapText="1"/>
      <protection locked="0"/>
    </xf>
    <xf numFmtId="49" fontId="20" fillId="16" borderId="29" xfId="5" applyNumberFormat="1" applyFont="1" applyFill="1" applyBorder="1" applyAlignment="1" applyProtection="1">
      <alignment horizontal="center" vertical="center" wrapText="1"/>
      <protection locked="0"/>
    </xf>
    <xf numFmtId="0" fontId="13" fillId="0" borderId="3" xfId="5" applyFont="1" applyBorder="1" applyAlignment="1">
      <alignment vertical="top" wrapText="1"/>
    </xf>
    <xf numFmtId="49" fontId="20" fillId="16" borderId="6" xfId="5" applyNumberFormat="1" applyFont="1" applyFill="1" applyBorder="1" applyAlignment="1" applyProtection="1">
      <alignment horizontal="center" vertical="center" wrapText="1"/>
      <protection locked="0"/>
    </xf>
    <xf numFmtId="49" fontId="20" fillId="16" borderId="22" xfId="5" applyNumberFormat="1" applyFont="1" applyFill="1" applyBorder="1" applyAlignment="1" applyProtection="1">
      <alignment horizontal="left" vertical="center" wrapText="1"/>
      <protection locked="0"/>
    </xf>
    <xf numFmtId="49" fontId="16" fillId="0" borderId="30" xfId="5" applyNumberFormat="1" applyFont="1" applyBorder="1" applyAlignment="1">
      <alignment vertical="top"/>
    </xf>
    <xf numFmtId="49" fontId="16" fillId="0" borderId="31" xfId="5" applyNumberFormat="1" applyFont="1" applyBorder="1" applyAlignment="1">
      <alignment vertical="top"/>
    </xf>
    <xf numFmtId="49" fontId="16" fillId="2" borderId="5" xfId="5" applyNumberFormat="1" applyFont="1" applyFill="1" applyBorder="1" applyAlignment="1">
      <alignment vertical="center" wrapText="1"/>
    </xf>
    <xf numFmtId="4" fontId="19" fillId="16" borderId="28" xfId="5" applyNumberFormat="1" applyFont="1" applyFill="1" applyBorder="1" applyAlignment="1" applyProtection="1">
      <alignment horizontal="right" vertical="center" wrapText="1"/>
      <protection locked="0"/>
    </xf>
    <xf numFmtId="4" fontId="19" fillId="16" borderId="25" xfId="5" applyNumberFormat="1" applyFont="1" applyFill="1" applyBorder="1" applyAlignment="1" applyProtection="1">
      <alignment horizontal="right" vertical="center" wrapText="1"/>
      <protection locked="0"/>
    </xf>
    <xf numFmtId="49" fontId="26" fillId="20" borderId="3" xfId="5" applyNumberFormat="1" applyFont="1" applyFill="1" applyBorder="1" applyAlignment="1" applyProtection="1">
      <alignment horizontal="left" vertical="center" wrapText="1"/>
      <protection locked="0"/>
    </xf>
    <xf numFmtId="4" fontId="25" fillId="20" borderId="6" xfId="5" applyNumberFormat="1" applyFont="1" applyFill="1" applyBorder="1" applyAlignment="1" applyProtection="1">
      <alignment horizontal="right" vertical="center" wrapText="1"/>
      <protection locked="0"/>
    </xf>
    <xf numFmtId="4" fontId="26" fillId="20" borderId="6" xfId="5" applyNumberFormat="1" applyFont="1" applyFill="1" applyBorder="1" applyAlignment="1" applyProtection="1">
      <alignment horizontal="right" vertical="center" wrapText="1"/>
      <protection locked="0"/>
    </xf>
    <xf numFmtId="4" fontId="23" fillId="0" borderId="6" xfId="5" applyNumberFormat="1" applyFont="1" applyBorder="1"/>
    <xf numFmtId="49" fontId="20" fillId="16" borderId="32" xfId="5" applyNumberFormat="1" applyFont="1" applyFill="1" applyBorder="1" applyAlignment="1" applyProtection="1">
      <alignment horizontal="center" vertical="center" wrapText="1"/>
      <protection locked="0"/>
    </xf>
    <xf numFmtId="49" fontId="16" fillId="0" borderId="33" xfId="5" applyNumberFormat="1" applyFont="1" applyBorder="1" applyAlignment="1">
      <alignment vertical="top"/>
    </xf>
    <xf numFmtId="49" fontId="16" fillId="0" borderId="27" xfId="5" applyNumberFormat="1" applyFont="1" applyBorder="1" applyAlignment="1">
      <alignment vertical="top"/>
    </xf>
    <xf numFmtId="7" fontId="22" fillId="0" borderId="0" xfId="5" applyNumberFormat="1" applyFont="1" applyAlignment="1" applyProtection="1">
      <alignment horizontal="left"/>
      <protection locked="0"/>
    </xf>
    <xf numFmtId="49" fontId="16" fillId="0" borderId="34" xfId="5" applyNumberFormat="1" applyFont="1" applyBorder="1" applyAlignment="1">
      <alignment horizontal="center" vertical="top"/>
    </xf>
    <xf numFmtId="49" fontId="16" fillId="0" borderId="35" xfId="5" applyNumberFormat="1" applyFont="1" applyBorder="1" applyAlignment="1">
      <alignment horizontal="center" vertical="top"/>
    </xf>
    <xf numFmtId="0" fontId="9" fillId="0" borderId="3" xfId="5" applyFont="1" applyBorder="1" applyAlignment="1">
      <alignment horizontal="left" wrapText="1"/>
    </xf>
    <xf numFmtId="0" fontId="33" fillId="0" borderId="3" xfId="5" applyFont="1" applyBorder="1" applyAlignment="1">
      <alignment horizontal="left" wrapText="1"/>
    </xf>
    <xf numFmtId="49" fontId="26" fillId="20" borderId="6" xfId="5" applyNumberFormat="1" applyFont="1" applyFill="1" applyBorder="1" applyAlignment="1" applyProtection="1">
      <alignment horizontal="left" vertical="center" wrapText="1"/>
      <protection locked="0"/>
    </xf>
    <xf numFmtId="4" fontId="34" fillId="16" borderId="6" xfId="5" applyNumberFormat="1" applyFont="1" applyFill="1" applyBorder="1" applyAlignment="1" applyProtection="1">
      <alignment horizontal="right" vertical="center" wrapText="1"/>
      <protection locked="0"/>
    </xf>
    <xf numFmtId="0" fontId="35" fillId="0" borderId="3" xfId="5" applyFont="1" applyBorder="1" applyAlignment="1">
      <alignment horizontal="left" wrapText="1"/>
    </xf>
    <xf numFmtId="49" fontId="16" fillId="0" borderId="36" xfId="5" applyNumberFormat="1" applyFont="1" applyBorder="1" applyAlignment="1">
      <alignment horizontal="center" vertical="top"/>
    </xf>
    <xf numFmtId="4" fontId="36" fillId="0" borderId="6" xfId="5" applyNumberFormat="1" applyFont="1" applyBorder="1"/>
    <xf numFmtId="9" fontId="22" fillId="0" borderId="0" xfId="6" applyFont="1" applyFill="1" applyBorder="1" applyAlignment="1" applyProtection="1">
      <alignment horizontal="left"/>
      <protection locked="0"/>
    </xf>
    <xf numFmtId="49" fontId="26" fillId="20" borderId="4" xfId="5" applyNumberFormat="1" applyFont="1" applyFill="1" applyBorder="1" applyAlignment="1" applyProtection="1">
      <alignment horizontal="left" vertical="center" wrapText="1"/>
      <protection locked="0"/>
    </xf>
    <xf numFmtId="49" fontId="16" fillId="2" borderId="6" xfId="5" applyNumberFormat="1" applyFont="1" applyFill="1" applyBorder="1" applyAlignment="1">
      <alignment vertical="center" wrapText="1"/>
    </xf>
    <xf numFmtId="4" fontId="4" fillId="0" borderId="6" xfId="5" applyNumberFormat="1" applyBorder="1"/>
    <xf numFmtId="49" fontId="20" fillId="16" borderId="0" xfId="5" applyNumberFormat="1" applyFont="1" applyFill="1" applyAlignment="1" applyProtection="1">
      <alignment horizontal="center" vertical="center" wrapText="1"/>
      <protection locked="0"/>
    </xf>
    <xf numFmtId="4" fontId="7" fillId="2" borderId="6" xfId="5" applyNumberFormat="1" applyFont="1" applyFill="1" applyBorder="1"/>
    <xf numFmtId="49" fontId="20" fillId="0" borderId="27" xfId="5" applyNumberFormat="1" applyFont="1" applyBorder="1" applyAlignment="1" applyProtection="1">
      <alignment horizontal="center" vertical="center" wrapText="1"/>
      <protection locked="0"/>
    </xf>
    <xf numFmtId="49" fontId="26" fillId="0" borderId="3" xfId="5" applyNumberFormat="1" applyFont="1" applyBorder="1" applyAlignment="1" applyProtection="1">
      <alignment horizontal="left" vertical="center" wrapText="1"/>
      <protection locked="0"/>
    </xf>
    <xf numFmtId="0" fontId="9" fillId="0" borderId="4" xfId="5" applyFont="1" applyBorder="1" applyAlignment="1">
      <alignment horizontal="left" wrapText="1"/>
    </xf>
    <xf numFmtId="49" fontId="26" fillId="0" borderId="4" xfId="5" applyNumberFormat="1" applyFont="1" applyBorder="1" applyAlignment="1" applyProtection="1">
      <alignment horizontal="left" vertical="center" wrapText="1"/>
      <protection locked="0"/>
    </xf>
    <xf numFmtId="165" fontId="4" fillId="0" borderId="0" xfId="6" applyNumberFormat="1" applyFont="1"/>
    <xf numFmtId="165" fontId="4" fillId="0" borderId="0" xfId="5" applyNumberFormat="1"/>
    <xf numFmtId="4" fontId="19" fillId="16" borderId="12" xfId="5" applyNumberFormat="1" applyFont="1" applyFill="1" applyBorder="1" applyAlignment="1" applyProtection="1">
      <alignment horizontal="right" vertical="center" wrapText="1"/>
      <protection locked="0"/>
    </xf>
    <xf numFmtId="4" fontId="19" fillId="21" borderId="6" xfId="5" applyNumberFormat="1" applyFont="1" applyFill="1" applyBorder="1" applyAlignment="1" applyProtection="1">
      <alignment horizontal="right" vertical="center" wrapText="1"/>
      <protection locked="0"/>
    </xf>
    <xf numFmtId="4" fontId="20" fillId="21" borderId="6" xfId="5" applyNumberFormat="1" applyFont="1" applyFill="1" applyBorder="1" applyAlignment="1" applyProtection="1">
      <alignment horizontal="right" vertical="center" wrapText="1"/>
      <protection locked="0"/>
    </xf>
    <xf numFmtId="49" fontId="20" fillId="16" borderId="37" xfId="5" applyNumberFormat="1" applyFont="1" applyFill="1" applyBorder="1" applyAlignment="1" applyProtection="1">
      <alignment horizontal="center" vertical="center" wrapText="1"/>
      <protection locked="0"/>
    </xf>
    <xf numFmtId="49" fontId="20" fillId="0" borderId="37" xfId="5" applyNumberFormat="1" applyFont="1" applyBorder="1" applyAlignment="1" applyProtection="1">
      <alignment horizontal="center" vertical="center" wrapText="1"/>
      <protection locked="0"/>
    </xf>
    <xf numFmtId="49" fontId="16" fillId="0" borderId="30" xfId="5" applyNumberFormat="1" applyFont="1" applyBorder="1" applyAlignment="1">
      <alignment horizontal="center" vertical="top"/>
    </xf>
    <xf numFmtId="49" fontId="16" fillId="0" borderId="33" xfId="5" applyNumberFormat="1" applyFont="1" applyBorder="1" applyAlignment="1">
      <alignment horizontal="center" vertical="top"/>
    </xf>
    <xf numFmtId="49" fontId="16" fillId="0" borderId="31" xfId="5" applyNumberFormat="1" applyFont="1" applyBorder="1" applyAlignment="1">
      <alignment horizontal="center" vertical="top"/>
    </xf>
    <xf numFmtId="4" fontId="39" fillId="0" borderId="10" xfId="9" applyNumberFormat="1" applyFont="1" applyFill="1" applyBorder="1" applyAlignment="1" applyProtection="1"/>
    <xf numFmtId="4" fontId="39" fillId="0" borderId="17" xfId="9" applyNumberFormat="1" applyFont="1" applyFill="1" applyBorder="1" applyAlignment="1" applyProtection="1"/>
    <xf numFmtId="4" fontId="39" fillId="0" borderId="6" xfId="5" applyNumberFormat="1" applyFont="1" applyBorder="1"/>
    <xf numFmtId="4" fontId="40" fillId="0" borderId="10" xfId="9" applyNumberFormat="1" applyFont="1" applyFill="1" applyBorder="1" applyAlignment="1" applyProtection="1"/>
    <xf numFmtId="4" fontId="41" fillId="0" borderId="6" xfId="5" applyNumberFormat="1" applyFont="1" applyBorder="1"/>
    <xf numFmtId="0" fontId="43" fillId="9" borderId="15" xfId="10" applyFont="1" applyFill="1" applyBorder="1" applyAlignment="1">
      <alignment horizontal="left" vertical="top" wrapText="1"/>
    </xf>
    <xf numFmtId="49" fontId="17" fillId="0" borderId="12" xfId="5" applyNumberFormat="1" applyFont="1" applyBorder="1" applyAlignment="1" applyProtection="1">
      <alignment horizontal="center" vertical="center" wrapText="1"/>
      <protection locked="0"/>
    </xf>
    <xf numFmtId="49" fontId="44" fillId="3" borderId="6" xfId="5" applyNumberFormat="1" applyFont="1" applyFill="1" applyBorder="1" applyAlignment="1">
      <alignment horizontal="center" vertical="top"/>
    </xf>
    <xf numFmtId="49" fontId="44" fillId="0" borderId="3" xfId="5" applyNumberFormat="1" applyFont="1" applyBorder="1" applyAlignment="1">
      <alignment vertical="center" wrapText="1"/>
    </xf>
    <xf numFmtId="4" fontId="44" fillId="0" borderId="6" xfId="5" applyNumberFormat="1" applyFont="1" applyBorder="1"/>
    <xf numFmtId="0" fontId="12" fillId="0" borderId="0" xfId="5" applyFont="1"/>
    <xf numFmtId="49" fontId="44" fillId="2" borderId="3" xfId="5" applyNumberFormat="1" applyFont="1" applyFill="1" applyBorder="1" applyAlignment="1">
      <alignment vertical="center" wrapText="1"/>
    </xf>
    <xf numFmtId="4" fontId="44" fillId="2" borderId="6" xfId="5" applyNumberFormat="1" applyFont="1" applyFill="1" applyBorder="1"/>
    <xf numFmtId="49" fontId="45" fillId="16" borderId="3" xfId="5" applyNumberFormat="1" applyFont="1" applyFill="1" applyBorder="1" applyAlignment="1" applyProtection="1">
      <alignment horizontal="left" vertical="center" wrapText="1"/>
      <protection locked="0"/>
    </xf>
    <xf numFmtId="4" fontId="45" fillId="16" borderId="6" xfId="5" applyNumberFormat="1" applyFont="1" applyFill="1" applyBorder="1" applyAlignment="1" applyProtection="1">
      <alignment horizontal="right" vertical="center" wrapText="1"/>
      <protection locked="0"/>
    </xf>
    <xf numFmtId="0" fontId="4" fillId="0" borderId="6" xfId="5" applyBorder="1" applyAlignment="1">
      <alignment wrapText="1"/>
    </xf>
    <xf numFmtId="49" fontId="16" fillId="3" borderId="6" xfId="5" applyNumberFormat="1" applyFont="1" applyFill="1" applyBorder="1" applyAlignment="1">
      <alignment vertical="center" wrapText="1"/>
    </xf>
    <xf numFmtId="49" fontId="16" fillId="0" borderId="6" xfId="5" applyNumberFormat="1" applyFont="1" applyBorder="1" applyAlignment="1">
      <alignment vertical="center" wrapText="1"/>
    </xf>
    <xf numFmtId="4" fontId="20" fillId="16" borderId="28" xfId="5" applyNumberFormat="1" applyFont="1" applyFill="1" applyBorder="1" applyAlignment="1" applyProtection="1">
      <alignment horizontal="right" vertical="center" wrapText="1"/>
      <protection locked="0"/>
    </xf>
    <xf numFmtId="49" fontId="20" fillId="16" borderId="14" xfId="5" applyNumberFormat="1" applyFont="1" applyFill="1" applyBorder="1" applyAlignment="1" applyProtection="1">
      <alignment horizontal="center" vertical="center" wrapText="1"/>
      <protection locked="0"/>
    </xf>
    <xf numFmtId="0" fontId="35" fillId="0" borderId="6" xfId="5" applyFont="1" applyBorder="1" applyAlignment="1">
      <alignment horizontal="left" wrapText="1"/>
    </xf>
    <xf numFmtId="4" fontId="20" fillId="16" borderId="25" xfId="5" applyNumberFormat="1" applyFont="1" applyFill="1" applyBorder="1" applyAlignment="1" applyProtection="1">
      <alignment horizontal="right" vertical="center" wrapText="1"/>
      <protection locked="0"/>
    </xf>
    <xf numFmtId="0" fontId="33" fillId="0" borderId="6" xfId="5" applyFont="1" applyBorder="1" applyAlignment="1">
      <alignment horizontal="left" wrapText="1"/>
    </xf>
    <xf numFmtId="49" fontId="20" fillId="16" borderId="17" xfId="5" applyNumberFormat="1" applyFont="1" applyFill="1" applyBorder="1" applyAlignment="1" applyProtection="1">
      <alignment horizontal="left" vertical="center" wrapText="1"/>
      <protection locked="0"/>
    </xf>
    <xf numFmtId="4" fontId="20" fillId="16" borderId="11" xfId="5" applyNumberFormat="1" applyFont="1" applyFill="1" applyBorder="1" applyAlignment="1" applyProtection="1">
      <alignment horizontal="right" vertical="center" wrapText="1"/>
      <protection locked="0"/>
    </xf>
    <xf numFmtId="49" fontId="16" fillId="3" borderId="8" xfId="5" applyNumberFormat="1" applyFont="1" applyFill="1" applyBorder="1" applyAlignment="1">
      <alignment horizontal="left" vertical="top"/>
    </xf>
    <xf numFmtId="49" fontId="16" fillId="3" borderId="3" xfId="5" applyNumberFormat="1" applyFont="1" applyFill="1" applyBorder="1" applyAlignment="1">
      <alignment horizontal="center" vertical="top"/>
    </xf>
    <xf numFmtId="49" fontId="20" fillId="16" borderId="3" xfId="5" applyNumberFormat="1" applyFont="1" applyFill="1" applyBorder="1" applyAlignment="1" applyProtection="1">
      <alignment horizontal="left" vertical="center" wrapText="1"/>
      <protection locked="0"/>
    </xf>
    <xf numFmtId="4" fontId="19" fillId="12" borderId="6" xfId="5" applyNumberFormat="1" applyFont="1" applyFill="1" applyBorder="1" applyAlignment="1" applyProtection="1">
      <alignment horizontal="left" vertical="center" wrapText="1"/>
      <protection locked="0"/>
    </xf>
    <xf numFmtId="4" fontId="19" fillId="12" borderId="6" xfId="5" applyNumberFormat="1" applyFont="1" applyFill="1" applyBorder="1" applyAlignment="1" applyProtection="1">
      <alignment horizontal="right" vertical="center" wrapText="1"/>
      <protection locked="0"/>
    </xf>
    <xf numFmtId="49" fontId="16" fillId="0" borderId="12" xfId="5" applyNumberFormat="1" applyFont="1" applyBorder="1" applyAlignment="1">
      <alignment horizontal="right" vertical="top"/>
    </xf>
    <xf numFmtId="4" fontId="36" fillId="0" borderId="6" xfId="5" applyNumberFormat="1" applyFont="1" applyBorder="1" applyAlignment="1">
      <alignment horizontal="right"/>
    </xf>
    <xf numFmtId="4" fontId="19" fillId="16" borderId="11" xfId="5" applyNumberFormat="1" applyFont="1" applyFill="1" applyBorder="1" applyAlignment="1" applyProtection="1">
      <alignment horizontal="right" vertical="center" wrapText="1"/>
      <protection locked="0"/>
    </xf>
    <xf numFmtId="49" fontId="16" fillId="3" borderId="3" xfId="5" applyNumberFormat="1" applyFont="1" applyFill="1" applyBorder="1" applyAlignment="1">
      <alignment horizontal="right" vertical="top"/>
    </xf>
    <xf numFmtId="49" fontId="24" fillId="16" borderId="17" xfId="5" applyNumberFormat="1" applyFont="1" applyFill="1" applyBorder="1" applyAlignment="1" applyProtection="1">
      <alignment horizontal="left" vertical="center" wrapText="1"/>
      <protection locked="0"/>
    </xf>
    <xf numFmtId="4" fontId="19" fillId="16" borderId="38" xfId="5" applyNumberFormat="1" applyFont="1" applyFill="1" applyBorder="1" applyAlignment="1" applyProtection="1">
      <alignment horizontal="right" vertical="center" wrapText="1"/>
      <protection locked="0"/>
    </xf>
    <xf numFmtId="4" fontId="20" fillId="16" borderId="38" xfId="5" applyNumberFormat="1" applyFont="1" applyFill="1" applyBorder="1" applyAlignment="1" applyProtection="1">
      <alignment horizontal="right" vertical="center" wrapText="1"/>
      <protection locked="0"/>
    </xf>
    <xf numFmtId="7" fontId="4" fillId="0" borderId="0" xfId="2" applyNumberFormat="1"/>
    <xf numFmtId="0" fontId="4" fillId="0" borderId="0" xfId="2"/>
    <xf numFmtId="49" fontId="20" fillId="16" borderId="6" xfId="5" applyNumberFormat="1" applyFont="1" applyFill="1" applyBorder="1" applyAlignment="1" applyProtection="1">
      <alignment horizontal="left" vertical="center" wrapText="1"/>
      <protection locked="0"/>
    </xf>
    <xf numFmtId="4" fontId="16" fillId="2" borderId="6" xfId="2" applyNumberFormat="1" applyFont="1" applyFill="1" applyBorder="1"/>
    <xf numFmtId="7" fontId="18" fillId="0" borderId="0" xfId="5" applyNumberFormat="1" applyFont="1"/>
    <xf numFmtId="0" fontId="46" fillId="0" borderId="3" xfId="5" applyFont="1" applyBorder="1" applyAlignment="1">
      <alignment horizontal="center"/>
    </xf>
    <xf numFmtId="0" fontId="46" fillId="0" borderId="4" xfId="5" applyFont="1" applyBorder="1" applyAlignment="1">
      <alignment horizontal="center"/>
    </xf>
    <xf numFmtId="4" fontId="4" fillId="0" borderId="0" xfId="2" applyNumberFormat="1"/>
    <xf numFmtId="4" fontId="36" fillId="0" borderId="4" xfId="5" applyNumberFormat="1" applyFont="1" applyBorder="1" applyAlignment="1">
      <alignment horizontal="right"/>
    </xf>
    <xf numFmtId="4" fontId="46" fillId="0" borderId="4" xfId="5" applyNumberFormat="1" applyFont="1" applyBorder="1" applyAlignment="1">
      <alignment horizontal="right"/>
    </xf>
    <xf numFmtId="0" fontId="4" fillId="0" borderId="23" xfId="2" applyBorder="1"/>
    <xf numFmtId="3" fontId="36" fillId="0" borderId="6" xfId="2" applyNumberFormat="1" applyFont="1" applyBorder="1" applyAlignment="1">
      <alignment horizontal="center"/>
    </xf>
    <xf numFmtId="49" fontId="26" fillId="0" borderId="6" xfId="5" applyNumberFormat="1" applyFont="1" applyBorder="1" applyAlignment="1" applyProtection="1">
      <alignment horizontal="left" vertical="center" wrapText="1"/>
      <protection locked="0"/>
    </xf>
    <xf numFmtId="3" fontId="36" fillId="0" borderId="6" xfId="2" applyNumberFormat="1" applyFont="1" applyBorder="1"/>
    <xf numFmtId="4" fontId="36" fillId="0" borderId="6" xfId="2" applyNumberFormat="1" applyFont="1" applyBorder="1"/>
    <xf numFmtId="0" fontId="4" fillId="0" borderId="12" xfId="2" applyBorder="1"/>
    <xf numFmtId="0" fontId="4" fillId="0" borderId="6" xfId="2" applyBorder="1" applyAlignment="1">
      <alignment horizontal="center"/>
    </xf>
    <xf numFmtId="3" fontId="36" fillId="2" borderId="6" xfId="2" applyNumberFormat="1" applyFont="1" applyFill="1" applyBorder="1"/>
    <xf numFmtId="4" fontId="36" fillId="2" borderId="6" xfId="2" applyNumberFormat="1" applyFont="1" applyFill="1" applyBorder="1"/>
    <xf numFmtId="3" fontId="36" fillId="0" borderId="6" xfId="2" applyNumberFormat="1" applyFont="1" applyBorder="1" applyAlignment="1">
      <alignment horizontal="center" vertical="center" wrapText="1"/>
    </xf>
    <xf numFmtId="0" fontId="4" fillId="0" borderId="0" xfId="2" applyAlignment="1">
      <alignment wrapText="1"/>
    </xf>
    <xf numFmtId="3" fontId="4" fillId="0" borderId="0" xfId="2" applyNumberFormat="1"/>
    <xf numFmtId="0" fontId="36" fillId="13" borderId="6" xfId="2" applyFont="1" applyFill="1" applyBorder="1" applyAlignment="1">
      <alignment wrapText="1"/>
    </xf>
    <xf numFmtId="3" fontId="36" fillId="13" borderId="6" xfId="2" applyNumberFormat="1" applyFont="1" applyFill="1" applyBorder="1"/>
    <xf numFmtId="4" fontId="36" fillId="13" borderId="6" xfId="2" applyNumberFormat="1" applyFont="1" applyFill="1" applyBorder="1"/>
    <xf numFmtId="4" fontId="37" fillId="13" borderId="6" xfId="2" applyNumberFormat="1" applyFont="1" applyFill="1" applyBorder="1"/>
    <xf numFmtId="0" fontId="4" fillId="0" borderId="14" xfId="2" applyBorder="1"/>
    <xf numFmtId="3" fontId="37" fillId="13" borderId="6" xfId="2" applyNumberFormat="1" applyFont="1" applyFill="1" applyBorder="1"/>
    <xf numFmtId="0" fontId="4" fillId="0" borderId="0" xfId="2" applyAlignment="1">
      <alignment horizontal="center"/>
    </xf>
    <xf numFmtId="3" fontId="4" fillId="0" borderId="0" xfId="2" applyNumberFormat="1" applyAlignment="1">
      <alignment wrapText="1"/>
    </xf>
    <xf numFmtId="4" fontId="11" fillId="0" borderId="6" xfId="5" applyNumberFormat="1" applyFont="1" applyBorder="1" applyAlignment="1">
      <alignment horizontal="center" vertical="center" wrapText="1"/>
    </xf>
    <xf numFmtId="49" fontId="36" fillId="0" borderId="6" xfId="2" applyNumberFormat="1" applyFont="1" applyBorder="1"/>
    <xf numFmtId="3" fontId="36" fillId="0" borderId="6" xfId="2" applyNumberFormat="1" applyFont="1" applyBorder="1" applyAlignment="1">
      <alignment horizontal="right"/>
    </xf>
    <xf numFmtId="4" fontId="36" fillId="0" borderId="6" xfId="2" applyNumberFormat="1" applyFont="1" applyBorder="1" applyAlignment="1">
      <alignment horizontal="right"/>
    </xf>
    <xf numFmtId="4" fontId="44" fillId="0" borderId="6" xfId="2" applyNumberFormat="1" applyFont="1" applyBorder="1" applyAlignment="1">
      <alignment horizontal="right"/>
    </xf>
    <xf numFmtId="49" fontId="36" fillId="0" borderId="6" xfId="5" applyNumberFormat="1" applyFont="1" applyBorder="1"/>
    <xf numFmtId="3" fontId="36" fillId="0" borderId="6" xfId="5" applyNumberFormat="1" applyFont="1" applyBorder="1" applyAlignment="1">
      <alignment horizontal="right"/>
    </xf>
    <xf numFmtId="4" fontId="44" fillId="0" borderId="6" xfId="5" applyNumberFormat="1" applyFont="1" applyBorder="1" applyAlignment="1">
      <alignment horizontal="right"/>
    </xf>
    <xf numFmtId="0" fontId="4" fillId="0" borderId="6" xfId="5" applyBorder="1"/>
    <xf numFmtId="0" fontId="4" fillId="0" borderId="6" xfId="5" applyBorder="1" applyAlignment="1">
      <alignment horizontal="center"/>
    </xf>
    <xf numFmtId="0" fontId="4" fillId="0" borderId="0" xfId="5" applyAlignment="1">
      <alignment horizontal="center"/>
    </xf>
    <xf numFmtId="0" fontId="4" fillId="0" borderId="0" xfId="5" applyAlignment="1">
      <alignment wrapText="1"/>
    </xf>
    <xf numFmtId="3" fontId="4" fillId="0" borderId="0" xfId="5" applyNumberFormat="1" applyAlignment="1">
      <alignment horizontal="right"/>
    </xf>
    <xf numFmtId="0" fontId="4" fillId="0" borderId="0" xfId="8" applyAlignment="1">
      <alignment horizontal="center" vertical="center" wrapText="1"/>
    </xf>
    <xf numFmtId="0" fontId="9" fillId="0" borderId="0" xfId="8" applyFont="1"/>
    <xf numFmtId="4" fontId="10" fillId="0" borderId="0" xfId="8" applyNumberFormat="1" applyFont="1"/>
    <xf numFmtId="0" fontId="4" fillId="0" borderId="0" xfId="8"/>
    <xf numFmtId="0" fontId="11" fillId="0" borderId="0" xfId="8" applyFont="1" applyAlignment="1">
      <alignment horizontal="center" vertical="center" wrapText="1"/>
    </xf>
    <xf numFmtId="4" fontId="12" fillId="0" borderId="0" xfId="8" applyNumberFormat="1" applyFont="1"/>
    <xf numFmtId="4" fontId="4" fillId="0" borderId="0" xfId="8" applyNumberFormat="1" applyAlignment="1">
      <alignment horizontal="center" vertical="center" wrapText="1"/>
    </xf>
    <xf numFmtId="0" fontId="4" fillId="0" borderId="1" xfId="8" applyBorder="1" applyAlignment="1">
      <alignment horizontal="center" vertical="center" wrapText="1"/>
    </xf>
    <xf numFmtId="4" fontId="4" fillId="0" borderId="1" xfId="8" applyNumberFormat="1" applyBorder="1" applyAlignment="1">
      <alignment horizontal="center" vertical="center" wrapText="1"/>
    </xf>
    <xf numFmtId="0" fontId="11" fillId="0" borderId="1" xfId="8" applyFont="1" applyBorder="1" applyAlignment="1">
      <alignment horizontal="center" vertical="center" wrapText="1"/>
    </xf>
    <xf numFmtId="0" fontId="15" fillId="0" borderId="6" xfId="8" applyFont="1" applyBorder="1" applyAlignment="1">
      <alignment horizontal="center" vertical="top"/>
    </xf>
    <xf numFmtId="49" fontId="3" fillId="0" borderId="6" xfId="7" applyNumberFormat="1" applyFont="1" applyBorder="1" applyAlignment="1">
      <alignment horizontal="center" vertical="top"/>
    </xf>
    <xf numFmtId="0" fontId="3" fillId="3" borderId="6" xfId="7" applyFont="1" applyFill="1" applyBorder="1" applyAlignment="1">
      <alignment vertical="center" wrapText="1"/>
    </xf>
    <xf numFmtId="4" fontId="3" fillId="3" borderId="6" xfId="7" applyNumberFormat="1" applyFont="1" applyFill="1" applyBorder="1" applyAlignment="1">
      <alignment horizontal="right"/>
    </xf>
    <xf numFmtId="0" fontId="15" fillId="0" borderId="2" xfId="8" applyFont="1" applyBorder="1" applyAlignment="1">
      <alignment vertical="top"/>
    </xf>
    <xf numFmtId="0" fontId="27" fillId="0" borderId="6" xfId="7" applyFont="1" applyBorder="1" applyAlignment="1">
      <alignment vertical="center" wrapText="1"/>
    </xf>
    <xf numFmtId="4" fontId="3" fillId="0" borderId="6" xfId="7" applyNumberFormat="1" applyFont="1" applyBorder="1" applyAlignment="1">
      <alignment horizontal="right"/>
    </xf>
    <xf numFmtId="0" fontId="15" fillId="0" borderId="7" xfId="8" applyFont="1" applyBorder="1" applyAlignment="1">
      <alignment vertical="top"/>
    </xf>
    <xf numFmtId="49" fontId="3" fillId="4" borderId="2" xfId="7" applyNumberFormat="1" applyFont="1" applyFill="1" applyBorder="1" applyAlignment="1">
      <alignment vertical="top"/>
    </xf>
    <xf numFmtId="49" fontId="3" fillId="2" borderId="6" xfId="7" applyNumberFormat="1" applyFont="1" applyFill="1" applyBorder="1" applyAlignment="1">
      <alignment horizontal="center" vertical="top"/>
    </xf>
    <xf numFmtId="49" fontId="3" fillId="4" borderId="7" xfId="7" applyNumberFormat="1" applyFont="1" applyFill="1" applyBorder="1" applyAlignment="1">
      <alignment vertical="top"/>
    </xf>
    <xf numFmtId="49" fontId="2" fillId="0" borderId="2" xfId="7" applyNumberFormat="1" applyFont="1" applyBorder="1" applyAlignment="1">
      <alignment horizontal="center" vertical="top"/>
    </xf>
    <xf numFmtId="4" fontId="6" fillId="0" borderId="0" xfId="7" applyNumberFormat="1"/>
    <xf numFmtId="49" fontId="2" fillId="2" borderId="6" xfId="7" applyNumberFormat="1" applyFont="1" applyFill="1" applyBorder="1" applyAlignment="1">
      <alignment horizontal="center" vertical="top"/>
    </xf>
    <xf numFmtId="49" fontId="16" fillId="2" borderId="6" xfId="8" applyNumberFormat="1" applyFont="1" applyFill="1" applyBorder="1" applyAlignment="1">
      <alignment vertical="center" wrapText="1"/>
    </xf>
    <xf numFmtId="4" fontId="2" fillId="0" borderId="6" xfId="7" applyNumberFormat="1" applyFont="1" applyBorder="1" applyAlignment="1">
      <alignment horizontal="right"/>
    </xf>
    <xf numFmtId="0" fontId="15" fillId="0" borderId="8" xfId="8" applyFont="1" applyBorder="1" applyAlignment="1">
      <alignment vertical="top"/>
    </xf>
    <xf numFmtId="49" fontId="3" fillId="4" borderId="8" xfId="7" applyNumberFormat="1" applyFont="1" applyFill="1" applyBorder="1" applyAlignment="1">
      <alignment vertical="top"/>
    </xf>
    <xf numFmtId="0" fontId="47" fillId="0" borderId="6" xfId="8" applyFont="1" applyBorder="1" applyAlignment="1">
      <alignment horizontal="left" vertical="top" wrapText="1"/>
    </xf>
    <xf numFmtId="49" fontId="16" fillId="2" borderId="3" xfId="8" applyNumberFormat="1" applyFont="1" applyFill="1" applyBorder="1" applyAlignment="1">
      <alignment vertical="center" wrapText="1"/>
    </xf>
    <xf numFmtId="49" fontId="27" fillId="0" borderId="6" xfId="7" applyNumberFormat="1" applyFont="1" applyBorder="1" applyAlignment="1">
      <alignment horizontal="center" vertical="top"/>
    </xf>
    <xf numFmtId="4" fontId="48" fillId="2" borderId="6" xfId="7" applyNumberFormat="1" applyFont="1" applyFill="1" applyBorder="1" applyAlignment="1">
      <alignment horizontal="right"/>
    </xf>
    <xf numFmtId="4" fontId="4" fillId="0" borderId="0" xfId="8" applyNumberFormat="1" applyAlignment="1">
      <alignment horizontal="center" vertical="center"/>
    </xf>
    <xf numFmtId="0" fontId="15" fillId="0" borderId="8" xfId="8" applyFont="1" applyBorder="1" applyAlignment="1">
      <alignment horizontal="center" vertical="top"/>
    </xf>
    <xf numFmtId="49" fontId="2" fillId="2" borderId="6" xfId="7" applyNumberFormat="1" applyFont="1" applyFill="1" applyBorder="1" applyAlignment="1">
      <alignment horizontal="left" vertical="top" wrapText="1"/>
    </xf>
    <xf numFmtId="49" fontId="27" fillId="0" borderId="2" xfId="7" applyNumberFormat="1" applyFont="1" applyBorder="1" applyAlignment="1">
      <alignment horizontal="center" vertical="top"/>
    </xf>
    <xf numFmtId="0" fontId="27" fillId="0" borderId="2" xfId="7" applyFont="1" applyBorder="1" applyAlignment="1">
      <alignment vertical="center" wrapText="1"/>
    </xf>
    <xf numFmtId="4" fontId="27" fillId="0" borderId="2" xfId="7" applyNumberFormat="1" applyFont="1" applyBorder="1" applyAlignment="1">
      <alignment horizontal="right"/>
    </xf>
    <xf numFmtId="49" fontId="3" fillId="0" borderId="2" xfId="7" applyNumberFormat="1" applyFont="1" applyBorder="1" applyAlignment="1">
      <alignment vertical="top"/>
    </xf>
    <xf numFmtId="49" fontId="3" fillId="0" borderId="8" xfId="7" applyNumberFormat="1" applyFont="1" applyBorder="1" applyAlignment="1">
      <alignment vertical="top"/>
    </xf>
    <xf numFmtId="49" fontId="16" fillId="0" borderId="6" xfId="5" applyNumberFormat="1" applyFont="1" applyBorder="1" applyAlignment="1">
      <alignment horizontal="right" vertical="top"/>
    </xf>
    <xf numFmtId="49" fontId="16" fillId="0" borderId="6" xfId="5" applyNumberFormat="1" applyFont="1" applyBorder="1" applyAlignment="1">
      <alignment vertical="top"/>
    </xf>
    <xf numFmtId="49" fontId="16" fillId="2" borderId="6" xfId="5" applyNumberFormat="1" applyFont="1" applyFill="1" applyBorder="1" applyAlignment="1">
      <alignment horizontal="right" vertical="top"/>
    </xf>
    <xf numFmtId="49" fontId="3" fillId="0" borderId="6" xfId="7" applyNumberFormat="1" applyFont="1" applyBorder="1" applyAlignment="1">
      <alignment vertical="top"/>
    </xf>
    <xf numFmtId="4" fontId="3" fillId="0" borderId="6" xfId="7" applyNumberFormat="1" applyFont="1" applyBorder="1"/>
    <xf numFmtId="4" fontId="2" fillId="4" borderId="6" xfId="7" applyNumberFormat="1" applyFont="1" applyFill="1" applyBorder="1"/>
    <xf numFmtId="0" fontId="9" fillId="0" borderId="6" xfId="8" applyFont="1" applyBorder="1" applyAlignment="1">
      <alignment horizontal="left" wrapText="1"/>
    </xf>
    <xf numFmtId="49" fontId="16" fillId="0" borderId="3" xfId="8" applyNumberFormat="1" applyFont="1" applyBorder="1" applyAlignment="1">
      <alignment vertical="center" wrapText="1"/>
    </xf>
    <xf numFmtId="49" fontId="2" fillId="0" borderId="6" xfId="7" applyNumberFormat="1" applyFont="1" applyBorder="1" applyAlignment="1">
      <alignment horizontal="center" vertical="top"/>
    </xf>
    <xf numFmtId="49" fontId="27" fillId="2" borderId="6" xfId="7" applyNumberFormat="1" applyFont="1" applyFill="1" applyBorder="1" applyAlignment="1">
      <alignment horizontal="center" vertical="top"/>
    </xf>
    <xf numFmtId="49" fontId="2" fillId="3" borderId="6" xfId="7" applyNumberFormat="1" applyFont="1" applyFill="1" applyBorder="1" applyAlignment="1">
      <alignment horizontal="center" vertical="top"/>
    </xf>
    <xf numFmtId="4" fontId="3" fillId="0" borderId="2" xfId="7" applyNumberFormat="1" applyFont="1" applyBorder="1" applyAlignment="1">
      <alignment horizontal="right"/>
    </xf>
    <xf numFmtId="4" fontId="30" fillId="0" borderId="6" xfId="7" applyNumberFormat="1" applyFont="1" applyBorder="1"/>
    <xf numFmtId="49" fontId="16" fillId="3" borderId="6" xfId="8" applyNumberFormat="1" applyFont="1" applyFill="1" applyBorder="1" applyAlignment="1">
      <alignment horizontal="right" vertical="top"/>
    </xf>
    <xf numFmtId="49" fontId="16" fillId="0" borderId="6" xfId="8" applyNumberFormat="1" applyFont="1" applyBorder="1" applyAlignment="1">
      <alignment horizontal="center" vertical="top"/>
    </xf>
    <xf numFmtId="49" fontId="16" fillId="3" borderId="6" xfId="8" applyNumberFormat="1" applyFont="1" applyFill="1" applyBorder="1" applyAlignment="1">
      <alignment horizontal="left" vertical="top"/>
    </xf>
    <xf numFmtId="4" fontId="16" fillId="3" borderId="6" xfId="8" applyNumberFormat="1" applyFont="1" applyFill="1" applyBorder="1"/>
    <xf numFmtId="0" fontId="22" fillId="0" borderId="0" xfId="8" applyFont="1" applyAlignment="1" applyProtection="1">
      <alignment horizontal="left"/>
      <protection locked="0"/>
    </xf>
    <xf numFmtId="49" fontId="16" fillId="3" borderId="6" xfId="8" applyNumberFormat="1" applyFont="1" applyFill="1" applyBorder="1" applyAlignment="1">
      <alignment horizontal="center" vertical="top"/>
    </xf>
    <xf numFmtId="49" fontId="16" fillId="0" borderId="2" xfId="8" applyNumberFormat="1" applyFont="1" applyBorder="1" applyAlignment="1">
      <alignment vertical="top"/>
    </xf>
    <xf numFmtId="49" fontId="16" fillId="0" borderId="7" xfId="8" applyNumberFormat="1" applyFont="1" applyBorder="1" applyAlignment="1">
      <alignment vertical="top"/>
    </xf>
    <xf numFmtId="49" fontId="16" fillId="0" borderId="8" xfId="8" applyNumberFormat="1" applyFont="1" applyBorder="1" applyAlignment="1">
      <alignment vertical="top"/>
    </xf>
    <xf numFmtId="0" fontId="36" fillId="23" borderId="6" xfId="8" applyFont="1" applyFill="1" applyBorder="1" applyAlignment="1">
      <alignment wrapText="1"/>
    </xf>
    <xf numFmtId="4" fontId="36" fillId="23" borderId="6" xfId="8" applyNumberFormat="1" applyFont="1" applyFill="1" applyBorder="1" applyAlignment="1">
      <alignment horizontal="right"/>
    </xf>
    <xf numFmtId="4" fontId="4" fillId="0" borderId="0" xfId="8" applyNumberFormat="1"/>
    <xf numFmtId="3" fontId="36" fillId="0" borderId="0" xfId="8" applyNumberFormat="1" applyFont="1" applyAlignment="1">
      <alignment horizontal="right"/>
    </xf>
    <xf numFmtId="0" fontId="4" fillId="0" borderId="0" xfId="8" applyAlignment="1">
      <alignment wrapText="1"/>
    </xf>
    <xf numFmtId="3" fontId="4" fillId="0" borderId="0" xfId="8" applyNumberFormat="1" applyAlignment="1">
      <alignment horizontal="right"/>
    </xf>
    <xf numFmtId="4" fontId="4" fillId="0" borderId="0" xfId="8" applyNumberFormat="1" applyAlignment="1">
      <alignment horizontal="right"/>
    </xf>
    <xf numFmtId="3" fontId="49" fillId="0" borderId="0" xfId="8" applyNumberFormat="1" applyFont="1" applyAlignment="1">
      <alignment horizontal="right"/>
    </xf>
    <xf numFmtId="4" fontId="4" fillId="0" borderId="0" xfId="8" applyNumberFormat="1" applyAlignment="1">
      <alignment horizontal="center"/>
    </xf>
    <xf numFmtId="0" fontId="4" fillId="0" borderId="0" xfId="8" applyAlignment="1">
      <alignment horizontal="center"/>
    </xf>
    <xf numFmtId="0" fontId="9" fillId="0" borderId="0" xfId="5" applyFont="1"/>
    <xf numFmtId="0" fontId="11" fillId="0" borderId="0" xfId="5" applyFont="1" applyAlignment="1">
      <alignment horizontal="center" vertical="center" wrapText="1"/>
    </xf>
    <xf numFmtId="0" fontId="11" fillId="0" borderId="1" xfId="5" applyFont="1" applyBorder="1" applyAlignment="1">
      <alignment horizontal="center" vertical="center" wrapText="1"/>
    </xf>
    <xf numFmtId="0" fontId="36" fillId="10" borderId="6" xfId="5" applyFont="1" applyFill="1" applyBorder="1" applyAlignment="1">
      <alignment wrapText="1"/>
    </xf>
    <xf numFmtId="4" fontId="36" fillId="10" borderId="6" xfId="5" applyNumberFormat="1" applyFont="1" applyFill="1" applyBorder="1" applyAlignment="1">
      <alignment horizontal="right"/>
    </xf>
    <xf numFmtId="0" fontId="5" fillId="0" borderId="0" xfId="11" applyFont="1" applyAlignment="1">
      <alignment vertical="top"/>
    </xf>
    <xf numFmtId="0" fontId="5" fillId="0" borderId="0" xfId="11" applyFont="1" applyAlignment="1">
      <alignment horizontal="center" vertical="top"/>
    </xf>
    <xf numFmtId="0" fontId="5" fillId="0" borderId="0" xfId="11" applyFont="1" applyAlignment="1">
      <alignment vertical="top" wrapText="1"/>
    </xf>
    <xf numFmtId="4" fontId="5" fillId="0" borderId="0" xfId="11" applyNumberFormat="1" applyFont="1" applyAlignment="1">
      <alignment vertical="top" wrapText="1"/>
    </xf>
    <xf numFmtId="4" fontId="5" fillId="0" borderId="0" xfId="5" applyNumberFormat="1" applyFont="1" applyAlignment="1">
      <alignment horizontal="right"/>
    </xf>
    <xf numFmtId="0" fontId="5" fillId="0" borderId="0" xfId="11" applyFont="1"/>
    <xf numFmtId="4" fontId="5" fillId="0" borderId="0" xfId="5" applyNumberFormat="1" applyFont="1"/>
    <xf numFmtId="4" fontId="5" fillId="0" borderId="6" xfId="11" applyNumberFormat="1" applyFont="1" applyBorder="1" applyAlignment="1">
      <alignment horizontal="center" vertical="center"/>
    </xf>
    <xf numFmtId="0" fontId="5" fillId="0" borderId="6" xfId="11" applyFont="1" applyBorder="1" applyAlignment="1">
      <alignment horizontal="center" vertical="top"/>
    </xf>
    <xf numFmtId="0" fontId="5" fillId="0" borderId="6" xfId="11" applyFont="1" applyBorder="1" applyAlignment="1">
      <alignment horizontal="center" vertical="top" wrapText="1"/>
    </xf>
    <xf numFmtId="0" fontId="5" fillId="0" borderId="0" xfId="11" applyFont="1" applyAlignment="1">
      <alignment horizontal="center" vertical="center"/>
    </xf>
    <xf numFmtId="4" fontId="5" fillId="0" borderId="0" xfId="11" applyNumberFormat="1" applyFont="1"/>
    <xf numFmtId="9" fontId="4" fillId="0" borderId="0" xfId="13" applyFont="1"/>
    <xf numFmtId="49" fontId="16" fillId="4" borderId="3" xfId="5" applyNumberFormat="1" applyFont="1" applyFill="1" applyBorder="1" applyAlignment="1">
      <alignment vertical="center" wrapText="1"/>
    </xf>
    <xf numFmtId="4" fontId="5" fillId="0" borderId="0" xfId="5" applyNumberFormat="1" applyFont="1" applyAlignment="1" applyProtection="1">
      <alignment horizontal="left"/>
      <protection locked="0"/>
    </xf>
    <xf numFmtId="4" fontId="11" fillId="0" borderId="6" xfId="8" applyNumberFormat="1" applyFont="1" applyBorder="1" applyAlignment="1">
      <alignment horizontal="center" vertical="center"/>
    </xf>
    <xf numFmtId="0" fontId="27" fillId="2" borderId="6" xfId="7" applyFont="1" applyFill="1" applyBorder="1" applyAlignment="1">
      <alignment vertical="center" wrapText="1"/>
    </xf>
    <xf numFmtId="0" fontId="4" fillId="0" borderId="6" xfId="8" applyBorder="1" applyAlignment="1">
      <alignment wrapText="1"/>
    </xf>
    <xf numFmtId="0" fontId="3" fillId="0" borderId="6" xfId="7" applyFont="1" applyBorder="1" applyAlignment="1">
      <alignment vertical="center" wrapText="1"/>
    </xf>
    <xf numFmtId="49" fontId="27" fillId="2" borderId="6" xfId="7" applyNumberFormat="1" applyFont="1" applyFill="1" applyBorder="1" applyAlignment="1">
      <alignment vertical="center" wrapText="1"/>
    </xf>
    <xf numFmtId="49" fontId="2" fillId="0" borderId="2" xfId="7" applyNumberFormat="1" applyFont="1" applyBorder="1" applyAlignment="1">
      <alignment vertical="top"/>
    </xf>
    <xf numFmtId="49" fontId="2" fillId="0" borderId="7" xfId="7" applyNumberFormat="1" applyFont="1" applyBorder="1" applyAlignment="1">
      <alignment vertical="top"/>
    </xf>
    <xf numFmtId="49" fontId="2" fillId="0" borderId="8" xfId="7" applyNumberFormat="1" applyFont="1" applyBorder="1" applyAlignment="1">
      <alignment vertical="top"/>
    </xf>
    <xf numFmtId="49" fontId="25" fillId="0" borderId="3" xfId="5" applyNumberFormat="1" applyFont="1" applyBorder="1" applyAlignment="1" applyProtection="1">
      <alignment horizontal="left" vertical="center" wrapText="1"/>
      <protection locked="0"/>
    </xf>
    <xf numFmtId="49" fontId="52" fillId="16" borderId="8" xfId="5" applyNumberFormat="1" applyFont="1" applyFill="1" applyBorder="1" applyAlignment="1" applyProtection="1">
      <alignment horizontal="center" vertical="center" wrapText="1"/>
      <protection locked="0"/>
    </xf>
    <xf numFmtId="0" fontId="19" fillId="0" borderId="6" xfId="5" applyFont="1" applyBorder="1" applyAlignment="1" applyProtection="1">
      <alignment horizontal="center" vertical="center" wrapText="1"/>
      <protection locked="0"/>
    </xf>
    <xf numFmtId="0" fontId="5" fillId="0" borderId="6" xfId="8" applyFont="1" applyBorder="1" applyAlignment="1" applyProtection="1">
      <alignment horizontal="left"/>
      <protection locked="0"/>
    </xf>
    <xf numFmtId="0" fontId="4" fillId="0" borderId="1" xfId="5" applyBorder="1"/>
    <xf numFmtId="0" fontId="11" fillId="0" borderId="6" xfId="5" applyFont="1" applyBorder="1" applyAlignment="1">
      <alignment horizontal="center" vertical="center"/>
    </xf>
    <xf numFmtId="0" fontId="5" fillId="0" borderId="0" xfId="5" applyFont="1" applyAlignment="1" applyProtection="1">
      <alignment horizontal="left"/>
      <protection locked="0"/>
    </xf>
    <xf numFmtId="0" fontId="19" fillId="16" borderId="6" xfId="5" applyFont="1" applyFill="1" applyBorder="1" applyAlignment="1" applyProtection="1">
      <alignment horizontal="center" vertical="center" wrapText="1"/>
      <protection locked="0"/>
    </xf>
    <xf numFmtId="49" fontId="19" fillId="16" borderId="6" xfId="5" applyNumberFormat="1" applyFont="1" applyFill="1" applyBorder="1" applyAlignment="1" applyProtection="1">
      <alignment horizontal="left" vertical="center" wrapText="1"/>
      <protection locked="0"/>
    </xf>
    <xf numFmtId="4" fontId="4" fillId="0" borderId="0" xfId="5" applyNumberFormat="1" applyAlignment="1">
      <alignment horizontal="center"/>
    </xf>
    <xf numFmtId="3" fontId="4" fillId="0" borderId="0" xfId="5" applyNumberFormat="1" applyAlignment="1">
      <alignment horizontal="center"/>
    </xf>
    <xf numFmtId="3" fontId="4" fillId="0" borderId="0" xfId="5" applyNumberFormat="1" applyAlignment="1">
      <alignment wrapText="1"/>
    </xf>
    <xf numFmtId="4" fontId="4" fillId="0" borderId="0" xfId="5" applyNumberFormat="1" applyAlignment="1">
      <alignment horizontal="right"/>
    </xf>
    <xf numFmtId="0" fontId="43" fillId="0" borderId="15" xfId="10" applyFont="1" applyBorder="1" applyAlignment="1">
      <alignment horizontal="left" vertical="top" wrapText="1"/>
    </xf>
    <xf numFmtId="49" fontId="8" fillId="5" borderId="3" xfId="5" applyNumberFormat="1" applyFont="1" applyFill="1" applyBorder="1" applyAlignment="1">
      <alignment wrapText="1"/>
    </xf>
    <xf numFmtId="4" fontId="8" fillId="5" borderId="8" xfId="5" applyNumberFormat="1" applyFont="1" applyFill="1" applyBorder="1"/>
    <xf numFmtId="4" fontId="8" fillId="5" borderId="6" xfId="7" applyNumberFormat="1" applyFont="1" applyFill="1" applyBorder="1"/>
    <xf numFmtId="4" fontId="4" fillId="0" borderId="0" xfId="5" applyNumberFormat="1" applyAlignment="1">
      <alignment horizontal="center" vertical="center"/>
    </xf>
    <xf numFmtId="4" fontId="5" fillId="0" borderId="0" xfId="5" applyNumberFormat="1" applyFont="1" applyAlignment="1" applyProtection="1">
      <alignment horizontal="right"/>
      <protection locked="0"/>
    </xf>
    <xf numFmtId="4" fontId="30" fillId="0" borderId="0" xfId="5" applyNumberFormat="1" applyFont="1" applyAlignment="1">
      <alignment horizontal="right"/>
    </xf>
    <xf numFmtId="4" fontId="31" fillId="0" borderId="0" xfId="5" applyNumberFormat="1" applyFont="1" applyAlignment="1">
      <alignment horizontal="right"/>
    </xf>
    <xf numFmtId="49" fontId="20" fillId="25" borderId="3" xfId="5" applyNumberFormat="1" applyFont="1" applyFill="1" applyBorder="1" applyAlignment="1" applyProtection="1">
      <alignment horizontal="left" vertical="center" wrapText="1"/>
      <protection locked="0"/>
    </xf>
    <xf numFmtId="4" fontId="19" fillId="25" borderId="6" xfId="5" applyNumberFormat="1" applyFont="1" applyFill="1" applyBorder="1" applyAlignment="1" applyProtection="1">
      <alignment horizontal="right" vertical="center" wrapText="1"/>
      <protection locked="0"/>
    </xf>
    <xf numFmtId="4" fontId="20" fillId="25" borderId="6" xfId="5" applyNumberFormat="1" applyFont="1" applyFill="1" applyBorder="1" applyAlignment="1" applyProtection="1">
      <alignment horizontal="right" vertical="center" wrapText="1"/>
      <protection locked="0"/>
    </xf>
    <xf numFmtId="0" fontId="53" fillId="0" borderId="6" xfId="5" applyFont="1" applyBorder="1" applyAlignment="1">
      <alignment wrapText="1"/>
    </xf>
    <xf numFmtId="4" fontId="5" fillId="0" borderId="6" xfId="11" applyNumberFormat="1" applyFont="1" applyBorder="1" applyAlignment="1">
      <alignment horizontal="right" vertical="top" wrapText="1"/>
    </xf>
    <xf numFmtId="0" fontId="4" fillId="26" borderId="3" xfId="5" applyFill="1" applyBorder="1" applyAlignment="1">
      <alignment wrapText="1"/>
    </xf>
    <xf numFmtId="4" fontId="19" fillId="27" borderId="6" xfId="5" applyNumberFormat="1" applyFont="1" applyFill="1" applyBorder="1" applyAlignment="1" applyProtection="1">
      <alignment horizontal="right" vertical="center" wrapText="1"/>
      <protection locked="0"/>
    </xf>
    <xf numFmtId="49" fontId="16" fillId="0" borderId="1" xfId="5" applyNumberFormat="1" applyFont="1" applyBorder="1" applyAlignment="1">
      <alignment horizontal="center" vertical="top"/>
    </xf>
    <xf numFmtId="3" fontId="0" fillId="0" borderId="0" xfId="0" applyNumberFormat="1"/>
    <xf numFmtId="4" fontId="31" fillId="0" borderId="0" xfId="5" applyNumberFormat="1" applyFont="1"/>
    <xf numFmtId="0" fontId="3" fillId="28" borderId="13" xfId="0" applyFont="1" applyFill="1" applyBorder="1" applyAlignment="1" applyProtection="1">
      <alignment horizontal="center" vertical="center" wrapText="1"/>
      <protection locked="0"/>
    </xf>
    <xf numFmtId="0" fontId="3" fillId="28" borderId="3" xfId="0" applyFont="1" applyFill="1" applyBorder="1" applyAlignment="1" applyProtection="1">
      <alignment horizontal="center" vertical="center" wrapText="1"/>
      <protection locked="0"/>
    </xf>
    <xf numFmtId="0" fontId="3" fillId="28" borderId="6" xfId="0" applyFont="1" applyFill="1" applyBorder="1" applyAlignment="1" applyProtection="1">
      <alignment horizontal="center" vertical="center" wrapText="1"/>
      <protection locked="0"/>
    </xf>
    <xf numFmtId="0" fontId="3" fillId="28" borderId="21" xfId="0" applyFont="1" applyFill="1" applyBorder="1" applyAlignment="1" applyProtection="1">
      <alignment horizontal="center" vertical="center" wrapText="1"/>
      <protection locked="0"/>
    </xf>
    <xf numFmtId="0" fontId="2" fillId="11" borderId="6" xfId="0" applyFont="1" applyFill="1" applyBorder="1"/>
    <xf numFmtId="4" fontId="19" fillId="18" borderId="6" xfId="5" applyNumberFormat="1" applyFont="1" applyFill="1" applyBorder="1" applyAlignment="1" applyProtection="1">
      <alignment horizontal="right" vertical="center" wrapText="1"/>
      <protection locked="0"/>
    </xf>
    <xf numFmtId="4" fontId="2" fillId="0" borderId="6" xfId="5" applyNumberFormat="1" applyFont="1" applyBorder="1"/>
    <xf numFmtId="4" fontId="2" fillId="0" borderId="8" xfId="5" applyNumberFormat="1" applyFont="1" applyBorder="1"/>
    <xf numFmtId="4" fontId="2" fillId="5" borderId="8" xfId="5" applyNumberFormat="1" applyFont="1" applyFill="1" applyBorder="1"/>
    <xf numFmtId="4" fontId="54" fillId="0" borderId="6" xfId="5" applyNumberFormat="1" applyFont="1" applyBorder="1" applyAlignment="1" applyProtection="1">
      <alignment horizontal="right"/>
      <protection locked="0"/>
    </xf>
    <xf numFmtId="4" fontId="55" fillId="0" borderId="6" xfId="5" applyNumberFormat="1" applyFont="1" applyBorder="1"/>
    <xf numFmtId="4" fontId="56" fillId="0" borderId="6" xfId="5" applyNumberFormat="1" applyFont="1" applyBorder="1"/>
    <xf numFmtId="4" fontId="57" fillId="0" borderId="17" xfId="9" applyNumberFormat="1" applyFont="1" applyFill="1" applyBorder="1" applyAlignment="1" applyProtection="1"/>
    <xf numFmtId="4" fontId="36" fillId="2" borderId="6" xfId="5" applyNumberFormat="1" applyFont="1" applyFill="1" applyBorder="1"/>
    <xf numFmtId="0" fontId="58" fillId="0" borderId="0" xfId="0" applyFont="1"/>
    <xf numFmtId="49" fontId="20" fillId="16" borderId="7" xfId="5" applyNumberFormat="1" applyFont="1" applyFill="1" applyBorder="1" applyAlignment="1" applyProtection="1">
      <alignment horizontal="center" vertical="center" wrapText="1"/>
      <protection locked="0"/>
    </xf>
    <xf numFmtId="0" fontId="59" fillId="0" borderId="0" xfId="15"/>
    <xf numFmtId="0" fontId="60" fillId="0" borderId="15" xfId="15" applyFont="1" applyBorder="1" applyAlignment="1">
      <alignment horizontal="center" vertical="top" wrapText="1"/>
    </xf>
    <xf numFmtId="7" fontId="60" fillId="0" borderId="15" xfId="15" applyNumberFormat="1" applyFont="1" applyBorder="1" applyAlignment="1">
      <alignment horizontal="right" vertical="top" wrapText="1"/>
    </xf>
    <xf numFmtId="0" fontId="60" fillId="0" borderId="15" xfId="15" applyFont="1" applyBorder="1" applyAlignment="1">
      <alignment horizontal="left" vertical="top" wrapText="1"/>
    </xf>
    <xf numFmtId="0" fontId="60" fillId="24" borderId="39" xfId="15" applyFont="1" applyFill="1" applyBorder="1" applyAlignment="1">
      <alignment horizontal="left" vertical="top" wrapText="1"/>
    </xf>
    <xf numFmtId="0" fontId="60" fillId="24" borderId="40" xfId="15" applyFont="1" applyFill="1" applyBorder="1" applyAlignment="1">
      <alignment horizontal="left" vertical="top" wrapText="1"/>
    </xf>
    <xf numFmtId="4" fontId="60" fillId="24" borderId="41" xfId="15" applyNumberFormat="1" applyFont="1" applyFill="1" applyBorder="1" applyAlignment="1">
      <alignment horizontal="right" vertical="top" wrapText="1"/>
    </xf>
    <xf numFmtId="0" fontId="60" fillId="24" borderId="42" xfId="15" applyFont="1" applyFill="1" applyBorder="1" applyAlignment="1">
      <alignment horizontal="left" vertical="top" wrapText="1"/>
    </xf>
    <xf numFmtId="0" fontId="60" fillId="4" borderId="15" xfId="15" applyFont="1" applyFill="1" applyBorder="1" applyAlignment="1">
      <alignment horizontal="center" vertical="top" wrapText="1"/>
    </xf>
    <xf numFmtId="0" fontId="59" fillId="4" borderId="0" xfId="15" applyFill="1"/>
    <xf numFmtId="7" fontId="59" fillId="0" borderId="0" xfId="15" applyNumberFormat="1"/>
    <xf numFmtId="4" fontId="21" fillId="16" borderId="25" xfId="5" applyNumberFormat="1" applyFont="1" applyFill="1" applyBorder="1" applyAlignment="1" applyProtection="1">
      <alignment horizontal="right" vertical="center" wrapText="1"/>
      <protection locked="0"/>
    </xf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wrapText="1"/>
    </xf>
    <xf numFmtId="4" fontId="2" fillId="0" borderId="0" xfId="0" applyNumberFormat="1" applyFont="1" applyAlignment="1">
      <alignment horizontal="right"/>
    </xf>
    <xf numFmtId="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7" fillId="0" borderId="6" xfId="0" applyNumberFormat="1" applyFont="1" applyBorder="1" applyAlignment="1">
      <alignment horizontal="center" vertical="center" wrapText="1"/>
    </xf>
    <xf numFmtId="0" fontId="2" fillId="0" borderId="6" xfId="0" applyFont="1" applyBorder="1"/>
    <xf numFmtId="49" fontId="2" fillId="0" borderId="6" xfId="0" applyNumberFormat="1" applyFont="1" applyBorder="1" applyAlignment="1">
      <alignment horizontal="center" vertical="top"/>
    </xf>
    <xf numFmtId="3" fontId="2" fillId="0" borderId="6" xfId="0" applyNumberFormat="1" applyFont="1" applyBorder="1" applyAlignment="1">
      <alignment horizontal="center" vertical="top"/>
    </xf>
    <xf numFmtId="49" fontId="3" fillId="0" borderId="6" xfId="0" applyNumberFormat="1" applyFont="1" applyBorder="1" applyAlignment="1" applyProtection="1">
      <alignment horizontal="center" vertical="center" wrapText="1"/>
      <protection locked="0"/>
    </xf>
    <xf numFmtId="49" fontId="3" fillId="28" borderId="6" xfId="0" applyNumberFormat="1" applyFont="1" applyFill="1" applyBorder="1" applyAlignment="1" applyProtection="1">
      <alignment horizontal="center" vertical="center" wrapText="1"/>
      <protection locked="0"/>
    </xf>
    <xf numFmtId="49" fontId="3" fillId="28" borderId="6" xfId="0" applyNumberFormat="1" applyFont="1" applyFill="1" applyBorder="1" applyAlignment="1" applyProtection="1">
      <alignment horizontal="left" vertical="center" wrapText="1"/>
      <protection locked="0"/>
    </xf>
    <xf numFmtId="4" fontId="3" fillId="28" borderId="6" xfId="0" applyNumberFormat="1" applyFont="1" applyFill="1" applyBorder="1" applyAlignment="1" applyProtection="1">
      <alignment horizontal="right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49" fontId="2" fillId="0" borderId="6" xfId="0" applyNumberFormat="1" applyFont="1" applyBorder="1" applyAlignment="1" applyProtection="1">
      <alignment horizontal="left" vertical="center" wrapText="1"/>
      <protection locked="0"/>
    </xf>
    <xf numFmtId="4" fontId="2" fillId="0" borderId="6" xfId="0" applyNumberFormat="1" applyFont="1" applyBorder="1" applyAlignment="1" applyProtection="1">
      <alignment horizontal="right" wrapText="1"/>
      <protection locked="0"/>
    </xf>
    <xf numFmtId="4" fontId="2" fillId="0" borderId="6" xfId="0" applyNumberFormat="1" applyFont="1" applyBorder="1" applyAlignment="1" applyProtection="1">
      <alignment wrapText="1"/>
      <protection locked="0"/>
    </xf>
    <xf numFmtId="4" fontId="2" fillId="0" borderId="6" xfId="2" applyNumberFormat="1" applyFont="1" applyBorder="1"/>
    <xf numFmtId="49" fontId="2" fillId="11" borderId="6" xfId="0" applyNumberFormat="1" applyFont="1" applyFill="1" applyBorder="1" applyAlignment="1" applyProtection="1">
      <alignment horizontal="center" vertical="center" wrapText="1"/>
      <protection locked="0"/>
    </xf>
    <xf numFmtId="49" fontId="2" fillId="11" borderId="6" xfId="0" applyNumberFormat="1" applyFont="1" applyFill="1" applyBorder="1" applyAlignment="1" applyProtection="1">
      <alignment horizontal="left" vertical="center" wrapText="1"/>
      <protection locked="0"/>
    </xf>
    <xf numFmtId="4" fontId="2" fillId="11" borderId="6" xfId="0" applyNumberFormat="1" applyFont="1" applyFill="1" applyBorder="1" applyAlignment="1" applyProtection="1">
      <alignment horizontal="right" wrapText="1"/>
      <protection locked="0"/>
    </xf>
    <xf numFmtId="49" fontId="2" fillId="8" borderId="6" xfId="0" applyNumberFormat="1" applyFont="1" applyFill="1" applyBorder="1" applyAlignment="1" applyProtection="1">
      <alignment horizontal="center" vertical="center" wrapText="1"/>
      <protection locked="0"/>
    </xf>
    <xf numFmtId="10" fontId="58" fillId="0" borderId="0" xfId="0" applyNumberFormat="1" applyFont="1"/>
    <xf numFmtId="0" fontId="58" fillId="0" borderId="6" xfId="0" applyFont="1" applyBorder="1" applyAlignment="1">
      <alignment vertical="justify" wrapText="1" shrinkToFit="1"/>
    </xf>
    <xf numFmtId="0" fontId="43" fillId="0" borderId="15" xfId="3" applyFont="1" applyBorder="1" applyAlignment="1">
      <alignment horizontal="center" vertical="top" wrapText="1"/>
    </xf>
    <xf numFmtId="49" fontId="2" fillId="5" borderId="6" xfId="0" applyNumberFormat="1" applyFont="1" applyFill="1" applyBorder="1" applyAlignment="1" applyProtection="1">
      <alignment horizontal="left" vertical="center" wrapText="1"/>
      <protection locked="0"/>
    </xf>
    <xf numFmtId="4" fontId="2" fillId="5" borderId="6" xfId="0" applyNumberFormat="1" applyFont="1" applyFill="1" applyBorder="1" applyAlignment="1" applyProtection="1">
      <alignment horizontal="right" wrapText="1"/>
      <protection locked="0"/>
    </xf>
    <xf numFmtId="49" fontId="2" fillId="8" borderId="6" xfId="0" applyNumberFormat="1" applyFont="1" applyFill="1" applyBorder="1" applyAlignment="1" applyProtection="1">
      <alignment horizontal="left" vertical="center" wrapText="1"/>
      <protection locked="0"/>
    </xf>
    <xf numFmtId="49" fontId="2" fillId="0" borderId="6" xfId="0" applyNumberFormat="1" applyFont="1" applyBorder="1" applyAlignment="1" applyProtection="1">
      <alignment horizontal="right" vertical="center" wrapText="1"/>
      <protection locked="0"/>
    </xf>
    <xf numFmtId="49" fontId="2" fillId="0" borderId="6" xfId="0" applyNumberFormat="1" applyFont="1" applyBorder="1" applyAlignment="1">
      <alignment vertical="top"/>
    </xf>
    <xf numFmtId="0" fontId="2" fillId="0" borderId="6" xfId="0" applyFont="1" applyBorder="1" applyAlignment="1">
      <alignment horizontal="left" vertical="top" wrapText="1"/>
    </xf>
    <xf numFmtId="4" fontId="2" fillId="0" borderId="6" xfId="0" applyNumberFormat="1" applyFont="1" applyBorder="1"/>
    <xf numFmtId="49" fontId="2" fillId="0" borderId="2" xfId="0" applyNumberFormat="1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left" vertical="top" wrapText="1"/>
    </xf>
    <xf numFmtId="0" fontId="2" fillId="0" borderId="6" xfId="0" applyFont="1" applyBorder="1" applyAlignment="1" applyProtection="1">
      <alignment vertical="center" wrapText="1"/>
      <protection locked="0"/>
    </xf>
    <xf numFmtId="49" fontId="2" fillId="10" borderId="6" xfId="0" applyNumberFormat="1" applyFont="1" applyFill="1" applyBorder="1" applyAlignment="1" applyProtection="1">
      <alignment horizontal="center" vertical="center" wrapText="1"/>
      <protection locked="0"/>
    </xf>
    <xf numFmtId="49" fontId="2" fillId="10" borderId="6" xfId="0" applyNumberFormat="1" applyFont="1" applyFill="1" applyBorder="1" applyAlignment="1" applyProtection="1">
      <alignment horizontal="left" vertical="center" wrapText="1"/>
      <protection locked="0"/>
    </xf>
    <xf numFmtId="4" fontId="2" fillId="29" borderId="6" xfId="0" applyNumberFormat="1" applyFont="1" applyFill="1" applyBorder="1" applyAlignment="1" applyProtection="1">
      <alignment horizontal="right" wrapText="1"/>
      <protection locked="0"/>
    </xf>
    <xf numFmtId="49" fontId="16" fillId="0" borderId="6" xfId="0" applyNumberFormat="1" applyFont="1" applyBorder="1" applyAlignment="1">
      <alignment horizontal="center" vertical="top"/>
    </xf>
    <xf numFmtId="0" fontId="2" fillId="11" borderId="0" xfId="0" applyFont="1" applyFill="1" applyAlignment="1" applyProtection="1">
      <alignment horizontal="left"/>
      <protection locked="0"/>
    </xf>
    <xf numFmtId="49" fontId="16" fillId="11" borderId="3" xfId="0" applyNumberFormat="1" applyFont="1" applyFill="1" applyBorder="1" applyAlignment="1">
      <alignment vertical="center" wrapText="1"/>
    </xf>
    <xf numFmtId="49" fontId="58" fillId="0" borderId="6" xfId="0" applyNumberFormat="1" applyFont="1" applyBorder="1" applyAlignment="1">
      <alignment horizontal="center"/>
    </xf>
    <xf numFmtId="0" fontId="58" fillId="0" borderId="6" xfId="0" applyFont="1" applyBorder="1" applyAlignment="1">
      <alignment horizontal="left" vertical="top" wrapText="1"/>
    </xf>
    <xf numFmtId="49" fontId="58" fillId="5" borderId="6" xfId="0" applyNumberFormat="1" applyFont="1" applyFill="1" applyBorder="1" applyAlignment="1">
      <alignment horizontal="center" vertical="justify"/>
    </xf>
    <xf numFmtId="0" fontId="58" fillId="5" borderId="6" xfId="0" applyFont="1" applyFill="1" applyBorder="1" applyAlignment="1">
      <alignment vertical="justify" wrapText="1" shrinkToFit="1"/>
    </xf>
    <xf numFmtId="49" fontId="58" fillId="0" borderId="6" xfId="0" applyNumberFormat="1" applyFont="1" applyBorder="1" applyAlignment="1">
      <alignment horizontal="center" vertical="justify"/>
    </xf>
    <xf numFmtId="49" fontId="4" fillId="0" borderId="18" xfId="0" applyNumberFormat="1" applyFont="1" applyBorder="1" applyAlignment="1">
      <alignment horizontal="center" vertical="justify"/>
    </xf>
    <xf numFmtId="0" fontId="4" fillId="0" borderId="19" xfId="0" applyFont="1" applyBorder="1" applyAlignment="1">
      <alignment vertical="justify" wrapText="1" shrinkToFit="1"/>
    </xf>
    <xf numFmtId="0" fontId="3" fillId="11" borderId="6" xfId="0" applyFont="1" applyFill="1" applyBorder="1" applyAlignment="1" applyProtection="1">
      <alignment horizontal="left"/>
      <protection locked="0"/>
    </xf>
    <xf numFmtId="4" fontId="2" fillId="17" borderId="6" xfId="0" applyNumberFormat="1" applyFont="1" applyFill="1" applyBorder="1" applyAlignment="1" applyProtection="1">
      <alignment horizontal="right" wrapText="1"/>
      <protection locked="0"/>
    </xf>
    <xf numFmtId="49" fontId="2" fillId="30" borderId="6" xfId="0" applyNumberFormat="1" applyFont="1" applyFill="1" applyBorder="1" applyAlignment="1" applyProtection="1">
      <alignment horizontal="center" vertical="center" wrapText="1"/>
      <protection locked="0"/>
    </xf>
    <xf numFmtId="4" fontId="2" fillId="30" borderId="6" xfId="0" applyNumberFormat="1" applyFont="1" applyFill="1" applyBorder="1" applyAlignment="1" applyProtection="1">
      <alignment horizontal="right" wrapText="1"/>
      <protection locked="0"/>
    </xf>
    <xf numFmtId="49" fontId="2" fillId="0" borderId="8" xfId="0" applyNumberFormat="1" applyFont="1" applyBorder="1" applyAlignment="1" applyProtection="1">
      <alignment horizontal="center" vertical="center" wrapText="1"/>
      <protection locked="0"/>
    </xf>
    <xf numFmtId="49" fontId="2" fillId="5" borderId="8" xfId="0" applyNumberFormat="1" applyFont="1" applyFill="1" applyBorder="1" applyAlignment="1" applyProtection="1">
      <alignment horizontal="center" vertical="center" wrapText="1"/>
      <protection locked="0"/>
    </xf>
    <xf numFmtId="49" fontId="2" fillId="5" borderId="8" xfId="0" applyNumberFormat="1" applyFont="1" applyFill="1" applyBorder="1" applyAlignment="1" applyProtection="1">
      <alignment horizontal="left" vertical="center" wrapText="1"/>
      <protection locked="0"/>
    </xf>
    <xf numFmtId="49" fontId="2" fillId="31" borderId="6" xfId="0" applyNumberFormat="1" applyFont="1" applyFill="1" applyBorder="1" applyAlignment="1" applyProtection="1">
      <alignment horizontal="center" vertical="center" wrapText="1"/>
      <protection locked="0"/>
    </xf>
    <xf numFmtId="49" fontId="2" fillId="31" borderId="6" xfId="0" applyNumberFormat="1" applyFont="1" applyFill="1" applyBorder="1" applyAlignment="1" applyProtection="1">
      <alignment horizontal="left" vertical="center" wrapText="1"/>
      <protection locked="0"/>
    </xf>
    <xf numFmtId="4" fontId="2" fillId="31" borderId="6" xfId="0" applyNumberFormat="1" applyFont="1" applyFill="1" applyBorder="1" applyAlignment="1" applyProtection="1">
      <alignment horizontal="right" wrapText="1"/>
      <protection locked="0"/>
    </xf>
    <xf numFmtId="49" fontId="3" fillId="0" borderId="8" xfId="0" applyNumberFormat="1" applyFont="1" applyBorder="1" applyAlignment="1" applyProtection="1">
      <alignment horizontal="center" vertical="center" wrapText="1"/>
      <protection locked="0"/>
    </xf>
    <xf numFmtId="49" fontId="3" fillId="28" borderId="8" xfId="0" applyNumberFormat="1" applyFont="1" applyFill="1" applyBorder="1" applyAlignment="1" applyProtection="1">
      <alignment horizontal="center" vertical="center" wrapText="1"/>
      <protection locked="0"/>
    </xf>
    <xf numFmtId="49" fontId="3" fillId="28" borderId="8" xfId="0" applyNumberFormat="1" applyFont="1" applyFill="1" applyBorder="1" applyAlignment="1" applyProtection="1">
      <alignment horizontal="left" vertical="center" wrapText="1"/>
      <protection locked="0"/>
    </xf>
    <xf numFmtId="4" fontId="3" fillId="28" borderId="8" xfId="0" applyNumberFormat="1" applyFont="1" applyFill="1" applyBorder="1" applyAlignment="1" applyProtection="1">
      <alignment horizontal="right" wrapText="1"/>
      <protection locked="0"/>
    </xf>
    <xf numFmtId="0" fontId="2" fillId="5" borderId="6" xfId="0" applyFont="1" applyFill="1" applyBorder="1" applyAlignment="1" applyProtection="1">
      <alignment horizontal="center" vertical="center" wrapText="1"/>
      <protection locked="0"/>
    </xf>
    <xf numFmtId="49" fontId="6" fillId="0" borderId="18" xfId="0" applyNumberFormat="1" applyFont="1" applyBorder="1" applyAlignment="1">
      <alignment horizontal="center" vertical="center"/>
    </xf>
    <xf numFmtId="4" fontId="4" fillId="0" borderId="18" xfId="1" applyNumberFormat="1" applyFont="1" applyFill="1" applyBorder="1" applyAlignment="1">
      <alignment horizontal="right"/>
    </xf>
    <xf numFmtId="4" fontId="6" fillId="29" borderId="19" xfId="1" applyNumberFormat="1" applyFont="1" applyFill="1" applyBorder="1" applyAlignment="1">
      <alignment horizontal="right"/>
    </xf>
    <xf numFmtId="0" fontId="6" fillId="0" borderId="19" xfId="0" applyFont="1" applyBorder="1" applyAlignment="1">
      <alignment vertical="justify" wrapText="1" shrinkToFit="1"/>
    </xf>
    <xf numFmtId="164" fontId="6" fillId="29" borderId="19" xfId="1" applyNumberFormat="1" applyFont="1" applyFill="1" applyBorder="1" applyAlignment="1">
      <alignment horizontal="right"/>
    </xf>
    <xf numFmtId="164" fontId="6" fillId="29" borderId="19" xfId="1" applyNumberFormat="1" applyFont="1" applyFill="1" applyBorder="1"/>
    <xf numFmtId="0" fontId="6" fillId="5" borderId="20" xfId="4" applyFill="1" applyBorder="1" applyAlignment="1">
      <alignment horizontal="left" vertical="top" wrapText="1"/>
    </xf>
    <xf numFmtId="0" fontId="58" fillId="5" borderId="6" xfId="0" applyFont="1" applyFill="1" applyBorder="1" applyAlignment="1">
      <alignment vertical="center" wrapText="1"/>
    </xf>
    <xf numFmtId="4" fontId="2" fillId="5" borderId="6" xfId="0" applyNumberFormat="1" applyFont="1" applyFill="1" applyBorder="1" applyAlignment="1" applyProtection="1">
      <alignment wrapText="1"/>
      <protection locked="0"/>
    </xf>
    <xf numFmtId="0" fontId="62" fillId="6" borderId="6" xfId="0" applyFont="1" applyFill="1" applyBorder="1" applyAlignment="1">
      <alignment horizontal="left" vertical="center" wrapText="1"/>
    </xf>
    <xf numFmtId="0" fontId="63" fillId="11" borderId="6" xfId="0" applyFont="1" applyFill="1" applyBorder="1"/>
    <xf numFmtId="49" fontId="2" fillId="14" borderId="6" xfId="0" applyNumberFormat="1" applyFont="1" applyFill="1" applyBorder="1" applyAlignment="1" applyProtection="1">
      <alignment horizontal="center" vertical="center" wrapText="1"/>
      <protection locked="0"/>
    </xf>
    <xf numFmtId="49" fontId="2" fillId="14" borderId="6" xfId="0" applyNumberFormat="1" applyFont="1" applyFill="1" applyBorder="1" applyAlignment="1" applyProtection="1">
      <alignment horizontal="left" vertical="center" wrapText="1"/>
      <protection locked="0"/>
    </xf>
    <xf numFmtId="4" fontId="2" fillId="14" borderId="6" xfId="0" applyNumberFormat="1" applyFont="1" applyFill="1" applyBorder="1" applyAlignment="1" applyProtection="1">
      <alignment horizontal="right" wrapText="1"/>
      <protection locked="0"/>
    </xf>
    <xf numFmtId="49" fontId="25" fillId="22" borderId="3" xfId="5" applyNumberFormat="1" applyFont="1" applyFill="1" applyBorder="1" applyAlignment="1" applyProtection="1">
      <alignment horizontal="left" vertical="center" wrapText="1"/>
      <protection locked="0"/>
    </xf>
    <xf numFmtId="4" fontId="19" fillId="22" borderId="3" xfId="5" applyNumberFormat="1" applyFont="1" applyFill="1" applyBorder="1" applyAlignment="1" applyProtection="1">
      <alignment vertical="center" wrapText="1"/>
      <protection locked="0"/>
    </xf>
    <xf numFmtId="4" fontId="19" fillId="5" borderId="6" xfId="5" applyNumberFormat="1" applyFont="1" applyFill="1" applyBorder="1" applyAlignment="1" applyProtection="1">
      <alignment vertical="center" wrapText="1"/>
      <protection locked="0"/>
    </xf>
    <xf numFmtId="4" fontId="19" fillId="22" borderId="6" xfId="5" applyNumberFormat="1" applyFont="1" applyFill="1" applyBorder="1" applyAlignment="1" applyProtection="1">
      <alignment vertical="center" wrapText="1"/>
      <protection locked="0"/>
    </xf>
    <xf numFmtId="49" fontId="4" fillId="0" borderId="18" xfId="0" applyNumberFormat="1" applyFont="1" applyBorder="1" applyAlignment="1">
      <alignment horizontal="center"/>
    </xf>
    <xf numFmtId="0" fontId="4" fillId="0" borderId="19" xfId="0" applyFont="1" applyBorder="1" applyAlignment="1">
      <alignment wrapText="1" shrinkToFit="1"/>
    </xf>
    <xf numFmtId="0" fontId="61" fillId="0" borderId="19" xfId="0" applyFont="1" applyBorder="1" applyAlignment="1">
      <alignment vertical="justify" wrapText="1" shrinkToFit="1"/>
    </xf>
    <xf numFmtId="49" fontId="2" fillId="0" borderId="0" xfId="0" applyNumberFormat="1" applyFont="1" applyAlignment="1" applyProtection="1">
      <alignment horizontal="left" vertical="center" wrapText="1"/>
      <protection locked="0"/>
    </xf>
    <xf numFmtId="4" fontId="2" fillId="29" borderId="6" xfId="0" applyNumberFormat="1" applyFont="1" applyFill="1" applyBorder="1"/>
    <xf numFmtId="49" fontId="2" fillId="0" borderId="18" xfId="0" applyNumberFormat="1" applyFont="1" applyBorder="1" applyAlignment="1">
      <alignment horizontal="center" vertical="justify"/>
    </xf>
    <xf numFmtId="0" fontId="2" fillId="0" borderId="19" xfId="0" applyFont="1" applyBorder="1" applyAlignment="1">
      <alignment vertical="justify" wrapText="1" shrinkToFit="1"/>
    </xf>
    <xf numFmtId="0" fontId="3" fillId="28" borderId="6" xfId="0" applyFont="1" applyFill="1" applyBorder="1" applyAlignment="1" applyProtection="1">
      <alignment horizontal="left" vertical="center" wrapText="1"/>
      <protection locked="0"/>
    </xf>
    <xf numFmtId="49" fontId="2" fillId="0" borderId="7" xfId="0" applyNumberFormat="1" applyFont="1" applyBorder="1" applyAlignment="1" applyProtection="1">
      <alignment vertical="center" wrapText="1"/>
      <protection locked="0"/>
    </xf>
    <xf numFmtId="49" fontId="2" fillId="0" borderId="7" xfId="0" applyNumberFormat="1" applyFont="1" applyBorder="1" applyAlignment="1" applyProtection="1">
      <alignment horizontal="center" vertical="center" wrapText="1"/>
      <protection locked="0"/>
    </xf>
    <xf numFmtId="49" fontId="2" fillId="0" borderId="8" xfId="0" applyNumberFormat="1" applyFont="1" applyBorder="1" applyAlignment="1" applyProtection="1">
      <alignment vertical="center" wrapText="1"/>
      <protection locked="0"/>
    </xf>
    <xf numFmtId="49" fontId="2" fillId="10" borderId="2" xfId="0" applyNumberFormat="1" applyFont="1" applyFill="1" applyBorder="1" applyAlignment="1" applyProtection="1">
      <alignment horizontal="center" vertical="center" wrapText="1"/>
      <protection locked="0"/>
    </xf>
    <xf numFmtId="4" fontId="2" fillId="29" borderId="2" xfId="0" applyNumberFormat="1" applyFont="1" applyFill="1" applyBorder="1" applyAlignment="1" applyProtection="1">
      <alignment horizontal="right" wrapText="1"/>
      <protection locked="0"/>
    </xf>
    <xf numFmtId="4" fontId="2" fillId="0" borderId="2" xfId="0" applyNumberFormat="1" applyFont="1" applyBorder="1" applyAlignment="1" applyProtection="1">
      <alignment horizontal="right" wrapText="1"/>
      <protection locked="0"/>
    </xf>
    <xf numFmtId="49" fontId="2" fillId="10" borderId="0" xfId="0" applyNumberFormat="1" applyFont="1" applyFill="1" applyAlignment="1" applyProtection="1">
      <alignment horizontal="left" vertical="center" wrapText="1"/>
      <protection locked="0"/>
    </xf>
    <xf numFmtId="4" fontId="2" fillId="11" borderId="6" xfId="0" applyNumberFormat="1" applyFont="1" applyFill="1" applyBorder="1" applyAlignment="1" applyProtection="1">
      <alignment horizontal="left" wrapText="1"/>
      <protection locked="0"/>
    </xf>
    <xf numFmtId="0" fontId="3" fillId="28" borderId="22" xfId="0" applyFont="1" applyFill="1" applyBorder="1" applyAlignment="1" applyProtection="1">
      <alignment horizontal="left" vertical="center" wrapText="1"/>
      <protection locked="0"/>
    </xf>
    <xf numFmtId="0" fontId="2" fillId="11" borderId="0" xfId="0" applyFont="1" applyFill="1" applyAlignment="1">
      <alignment wrapText="1" shrinkToFit="1"/>
    </xf>
    <xf numFmtId="49" fontId="2" fillId="10" borderId="2" xfId="0" applyNumberFormat="1" applyFont="1" applyFill="1" applyBorder="1" applyAlignment="1" applyProtection="1">
      <alignment horizontal="left" vertical="center" wrapText="1"/>
      <protection locked="0"/>
    </xf>
    <xf numFmtId="4" fontId="58" fillId="0" borderId="0" xfId="0" applyNumberFormat="1" applyFont="1"/>
    <xf numFmtId="4" fontId="3" fillId="11" borderId="6" xfId="0" applyNumberFormat="1" applyFont="1" applyFill="1" applyBorder="1" applyAlignment="1">
      <alignment horizontal="right"/>
    </xf>
    <xf numFmtId="49" fontId="3" fillId="0" borderId="6" xfId="0" applyNumberFormat="1" applyFont="1" applyBorder="1" applyAlignment="1">
      <alignment horizontal="center"/>
    </xf>
    <xf numFmtId="0" fontId="3" fillId="0" borderId="6" xfId="0" applyFont="1" applyBorder="1" applyAlignment="1">
      <alignment wrapText="1"/>
    </xf>
    <xf numFmtId="4" fontId="2" fillId="11" borderId="11" xfId="0" applyNumberFormat="1" applyFont="1" applyFill="1" applyBorder="1" applyAlignment="1" applyProtection="1">
      <alignment horizontal="right" wrapText="1"/>
      <protection locked="0"/>
    </xf>
    <xf numFmtId="0" fontId="3" fillId="32" borderId="6" xfId="0" applyFont="1" applyFill="1" applyBorder="1" applyAlignment="1">
      <alignment wrapText="1"/>
    </xf>
    <xf numFmtId="4" fontId="3" fillId="32" borderId="6" xfId="0" applyNumberFormat="1" applyFont="1" applyFill="1" applyBorder="1" applyAlignment="1">
      <alignment horizontal="right"/>
    </xf>
    <xf numFmtId="0" fontId="3" fillId="33" borderId="6" xfId="0" applyFont="1" applyFill="1" applyBorder="1" applyAlignment="1">
      <alignment wrapText="1"/>
    </xf>
    <xf numFmtId="4" fontId="3" fillId="33" borderId="6" xfId="0" applyNumberFormat="1" applyFont="1" applyFill="1" applyBorder="1" applyAlignment="1">
      <alignment horizontal="right"/>
    </xf>
    <xf numFmtId="4" fontId="3" fillId="14" borderId="6" xfId="0" applyNumberFormat="1" applyFont="1" applyFill="1" applyBorder="1" applyAlignment="1">
      <alignment horizontal="right"/>
    </xf>
    <xf numFmtId="0" fontId="2" fillId="0" borderId="6" xfId="0" applyFont="1" applyBorder="1" applyAlignment="1">
      <alignment wrapText="1"/>
    </xf>
    <xf numFmtId="4" fontId="2" fillId="0" borderId="6" xfId="0" applyNumberFormat="1" applyFont="1" applyBorder="1" applyAlignment="1">
      <alignment horizontal="right"/>
    </xf>
    <xf numFmtId="0" fontId="3" fillId="15" borderId="6" xfId="0" applyFont="1" applyFill="1" applyBorder="1" applyAlignment="1">
      <alignment wrapText="1"/>
    </xf>
    <xf numFmtId="4" fontId="2" fillId="5" borderId="6" xfId="0" applyNumberFormat="1" applyFont="1" applyFill="1" applyBorder="1" applyAlignment="1">
      <alignment horizontal="right"/>
    </xf>
    <xf numFmtId="4" fontId="3" fillId="5" borderId="6" xfId="0" applyNumberFormat="1" applyFont="1" applyFill="1" applyBorder="1" applyAlignment="1">
      <alignment horizontal="right"/>
    </xf>
    <xf numFmtId="0" fontId="3" fillId="14" borderId="6" xfId="0" applyFont="1" applyFill="1" applyBorder="1" applyAlignment="1">
      <alignment wrapText="1"/>
    </xf>
    <xf numFmtId="4" fontId="2" fillId="14" borderId="6" xfId="0" applyNumberFormat="1" applyFont="1" applyFill="1" applyBorder="1" applyAlignment="1">
      <alignment horizontal="right"/>
    </xf>
    <xf numFmtId="4" fontId="2" fillId="4" borderId="6" xfId="0" applyNumberFormat="1" applyFont="1" applyFill="1" applyBorder="1" applyAlignment="1">
      <alignment horizontal="right"/>
    </xf>
    <xf numFmtId="4" fontId="2" fillId="4" borderId="6" xfId="0" applyNumberFormat="1" applyFont="1" applyFill="1" applyBorder="1"/>
    <xf numFmtId="0" fontId="3" fillId="13" borderId="6" xfId="0" applyFont="1" applyFill="1" applyBorder="1" applyAlignment="1">
      <alignment wrapText="1"/>
    </xf>
    <xf numFmtId="4" fontId="3" fillId="4" borderId="6" xfId="0" applyNumberFormat="1" applyFont="1" applyFill="1" applyBorder="1" applyAlignment="1">
      <alignment horizontal="right"/>
    </xf>
    <xf numFmtId="4" fontId="3" fillId="4" borderId="6" xfId="0" applyNumberFormat="1" applyFont="1" applyFill="1" applyBorder="1" applyAlignment="1">
      <alignment wrapText="1"/>
    </xf>
    <xf numFmtId="4" fontId="3" fillId="4" borderId="6" xfId="0" applyNumberFormat="1" applyFont="1" applyFill="1" applyBorder="1" applyAlignment="1">
      <alignment horizontal="right" vertical="center"/>
    </xf>
    <xf numFmtId="0" fontId="58" fillId="5" borderId="0" xfId="0" applyFont="1" applyFill="1"/>
    <xf numFmtId="4" fontId="2" fillId="0" borderId="6" xfId="0" applyNumberFormat="1" applyFont="1" applyBorder="1" applyProtection="1">
      <protection locked="0"/>
    </xf>
    <xf numFmtId="49" fontId="2" fillId="0" borderId="2" xfId="0" applyNumberFormat="1" applyFont="1" applyBorder="1" applyAlignment="1" applyProtection="1">
      <alignment horizontal="left" vertical="center" wrapText="1"/>
      <protection locked="0"/>
    </xf>
    <xf numFmtId="4" fontId="2" fillId="11" borderId="5" xfId="0" applyNumberFormat="1" applyFont="1" applyFill="1" applyBorder="1" applyAlignment="1" applyProtection="1">
      <alignment horizontal="right" wrapText="1"/>
      <protection locked="0"/>
    </xf>
    <xf numFmtId="4" fontId="6" fillId="29" borderId="18" xfId="1" applyNumberFormat="1" applyFont="1" applyFill="1" applyBorder="1" applyAlignment="1">
      <alignment horizontal="right"/>
    </xf>
    <xf numFmtId="4" fontId="2" fillId="0" borderId="5" xfId="0" applyNumberFormat="1" applyFont="1" applyBorder="1" applyAlignment="1" applyProtection="1">
      <alignment horizontal="right" wrapText="1"/>
      <protection locked="0"/>
    </xf>
    <xf numFmtId="4" fontId="2" fillId="5" borderId="5" xfId="0" applyNumberFormat="1" applyFont="1" applyFill="1" applyBorder="1" applyAlignment="1" applyProtection="1">
      <alignment horizontal="right" wrapText="1"/>
      <protection locked="0"/>
    </xf>
    <xf numFmtId="164" fontId="6" fillId="29" borderId="18" xfId="1" applyNumberFormat="1" applyFont="1" applyFill="1" applyBorder="1" applyAlignment="1">
      <alignment horizontal="right"/>
    </xf>
    <xf numFmtId="49" fontId="6" fillId="0" borderId="6" xfId="0" applyNumberFormat="1" applyFont="1" applyBorder="1" applyAlignment="1">
      <alignment horizontal="center" vertical="center"/>
    </xf>
    <xf numFmtId="0" fontId="61" fillId="0" borderId="6" xfId="0" applyFont="1" applyBorder="1" applyAlignment="1">
      <alignment wrapText="1"/>
    </xf>
    <xf numFmtId="4" fontId="4" fillId="0" borderId="6" xfId="1" applyNumberFormat="1" applyFont="1" applyFill="1" applyBorder="1" applyAlignment="1">
      <alignment horizontal="right"/>
    </xf>
    <xf numFmtId="0" fontId="6" fillId="0" borderId="6" xfId="0" applyFont="1" applyBorder="1" applyAlignment="1">
      <alignment vertical="justify" wrapText="1" shrinkToFit="1"/>
    </xf>
    <xf numFmtId="0" fontId="3" fillId="0" borderId="6" xfId="0" applyFont="1" applyBorder="1" applyAlignment="1" applyProtection="1">
      <alignment horizontal="center" vertical="center" wrapText="1"/>
      <protection locked="0"/>
    </xf>
    <xf numFmtId="49" fontId="3" fillId="11" borderId="6" xfId="0" applyNumberFormat="1" applyFont="1" applyFill="1" applyBorder="1" applyAlignment="1" applyProtection="1">
      <alignment horizontal="center" vertical="center" wrapText="1"/>
      <protection locked="0"/>
    </xf>
    <xf numFmtId="49" fontId="3" fillId="11" borderId="6" xfId="0" applyNumberFormat="1" applyFont="1" applyFill="1" applyBorder="1" applyAlignment="1" applyProtection="1">
      <alignment horizontal="left" vertical="center" wrapText="1"/>
      <protection locked="0"/>
    </xf>
    <xf numFmtId="4" fontId="3" fillId="11" borderId="6" xfId="0" applyNumberFormat="1" applyFont="1" applyFill="1" applyBorder="1" applyAlignment="1" applyProtection="1">
      <alignment horizontal="right" wrapText="1"/>
      <protection locked="0"/>
    </xf>
    <xf numFmtId="0" fontId="0" fillId="0" borderId="6" xfId="0" applyBorder="1" applyAlignment="1">
      <alignment wrapText="1"/>
    </xf>
    <xf numFmtId="49" fontId="16" fillId="26" borderId="3" xfId="5" applyNumberFormat="1" applyFont="1" applyFill="1" applyBorder="1" applyAlignment="1">
      <alignment vertical="center" wrapText="1"/>
    </xf>
    <xf numFmtId="49" fontId="2" fillId="26" borderId="0" xfId="0" applyNumberFormat="1" applyFont="1" applyFill="1" applyAlignment="1" applyProtection="1">
      <alignment horizontal="center" vertical="center" wrapText="1"/>
      <protection locked="0"/>
    </xf>
    <xf numFmtId="4" fontId="2" fillId="26" borderId="6" xfId="0" applyNumberFormat="1" applyFont="1" applyFill="1" applyBorder="1" applyAlignment="1" applyProtection="1">
      <alignment horizontal="right" wrapText="1"/>
      <protection locked="0"/>
    </xf>
    <xf numFmtId="9" fontId="58" fillId="0" borderId="0" xfId="13" applyFont="1"/>
    <xf numFmtId="49" fontId="2" fillId="34" borderId="6" xfId="0" applyNumberFormat="1" applyFont="1" applyFill="1" applyBorder="1" applyAlignment="1" applyProtection="1">
      <alignment horizontal="center" vertical="center" wrapText="1"/>
      <protection locked="0"/>
    </xf>
    <xf numFmtId="49" fontId="2" fillId="34" borderId="0" xfId="0" applyNumberFormat="1" applyFont="1" applyFill="1" applyAlignment="1" applyProtection="1">
      <alignment horizontal="center" vertical="center" wrapText="1"/>
      <protection locked="0"/>
    </xf>
    <xf numFmtId="0" fontId="5" fillId="34" borderId="6" xfId="11" applyFont="1" applyFill="1" applyBorder="1" applyAlignment="1">
      <alignment horizontal="left" vertical="top" wrapText="1"/>
    </xf>
    <xf numFmtId="4" fontId="2" fillId="34" borderId="6" xfId="0" applyNumberFormat="1" applyFont="1" applyFill="1" applyBorder="1" applyAlignment="1" applyProtection="1">
      <alignment horizontal="right" wrapText="1"/>
      <protection locked="0"/>
    </xf>
    <xf numFmtId="0" fontId="5" fillId="0" borderId="6" xfId="11" applyFont="1" applyBorder="1" applyAlignment="1">
      <alignment horizontal="left" vertical="top" wrapText="1"/>
    </xf>
    <xf numFmtId="49" fontId="3" fillId="0" borderId="8" xfId="7" applyNumberFormat="1" applyFont="1" applyBorder="1" applyAlignment="1">
      <alignment horizontal="center" vertical="top"/>
    </xf>
    <xf numFmtId="2" fontId="6" fillId="0" borderId="0" xfId="13" applyNumberFormat="1" applyFont="1"/>
    <xf numFmtId="49" fontId="3" fillId="30" borderId="6" xfId="0" applyNumberFormat="1" applyFont="1" applyFill="1" applyBorder="1" applyAlignment="1" applyProtection="1">
      <alignment horizontal="center" vertical="center" wrapText="1"/>
      <protection locked="0"/>
    </xf>
    <xf numFmtId="49" fontId="3" fillId="30" borderId="6" xfId="0" applyNumberFormat="1" applyFont="1" applyFill="1" applyBorder="1" applyAlignment="1" applyProtection="1">
      <alignment horizontal="left" vertical="center" wrapText="1"/>
      <protection locked="0"/>
    </xf>
    <xf numFmtId="4" fontId="3" fillId="30" borderId="6" xfId="0" applyNumberFormat="1" applyFont="1" applyFill="1" applyBorder="1" applyAlignment="1" applyProtection="1">
      <alignment horizontal="right" wrapText="1"/>
      <protection locked="0"/>
    </xf>
    <xf numFmtId="0" fontId="2" fillId="4" borderId="6" xfId="0" applyFont="1" applyFill="1" applyBorder="1" applyAlignment="1" applyProtection="1">
      <alignment horizontal="center" vertical="center" wrapText="1"/>
      <protection locked="0"/>
    </xf>
    <xf numFmtId="49" fontId="2" fillId="4" borderId="6" xfId="0" applyNumberFormat="1" applyFont="1" applyFill="1" applyBorder="1" applyAlignment="1" applyProtection="1">
      <alignment horizontal="center" vertical="center" wrapText="1"/>
      <protection locked="0"/>
    </xf>
    <xf numFmtId="49" fontId="2" fillId="4" borderId="6" xfId="0" applyNumberFormat="1" applyFont="1" applyFill="1" applyBorder="1" applyAlignment="1" applyProtection="1">
      <alignment horizontal="left" vertical="center" wrapText="1"/>
      <protection locked="0"/>
    </xf>
    <xf numFmtId="4" fontId="2" fillId="4" borderId="6" xfId="0" applyNumberFormat="1" applyFont="1" applyFill="1" applyBorder="1" applyAlignment="1" applyProtection="1">
      <alignment horizontal="right" wrapText="1"/>
      <protection locked="0"/>
    </xf>
    <xf numFmtId="4" fontId="2" fillId="4" borderId="2" xfId="0" applyNumberFormat="1" applyFont="1" applyFill="1" applyBorder="1" applyAlignment="1" applyProtection="1">
      <alignment horizontal="right" wrapText="1"/>
      <protection locked="0"/>
    </xf>
    <xf numFmtId="4" fontId="3" fillId="4" borderId="25" xfId="0" applyNumberFormat="1" applyFont="1" applyFill="1" applyBorder="1" applyAlignment="1">
      <alignment horizontal="right"/>
    </xf>
    <xf numFmtId="4" fontId="3" fillId="4" borderId="6" xfId="0" applyNumberFormat="1" applyFont="1" applyFill="1" applyBorder="1" applyAlignment="1" applyProtection="1">
      <alignment horizontal="right" wrapText="1"/>
      <protection locked="0"/>
    </xf>
    <xf numFmtId="0" fontId="2" fillId="4" borderId="2" xfId="0" applyFont="1" applyFill="1" applyBorder="1"/>
    <xf numFmtId="10" fontId="58" fillId="4" borderId="0" xfId="0" applyNumberFormat="1" applyFont="1" applyFill="1"/>
    <xf numFmtId="0" fontId="58" fillId="4" borderId="0" xfId="0" applyFont="1" applyFill="1"/>
    <xf numFmtId="4" fontId="22" fillId="0" borderId="0" xfId="8" applyNumberFormat="1" applyFont="1" applyAlignment="1" applyProtection="1">
      <alignment horizontal="left"/>
      <protection locked="0"/>
    </xf>
    <xf numFmtId="4" fontId="64" fillId="4" borderId="6" xfId="0" applyNumberFormat="1" applyFont="1" applyFill="1" applyBorder="1" applyAlignment="1">
      <alignment horizontal="right"/>
    </xf>
    <xf numFmtId="0" fontId="65" fillId="0" borderId="6" xfId="5" applyFont="1" applyBorder="1" applyAlignment="1" applyProtection="1">
      <alignment horizontal="center" vertical="top" wrapText="1"/>
      <protection locked="0"/>
    </xf>
    <xf numFmtId="49" fontId="65" fillId="0" borderId="6" xfId="5" applyNumberFormat="1" applyFont="1" applyBorder="1" applyAlignment="1" applyProtection="1">
      <alignment horizontal="left" vertical="center" wrapText="1"/>
      <protection locked="0"/>
    </xf>
    <xf numFmtId="49" fontId="2" fillId="0" borderId="6" xfId="5" applyNumberFormat="1" applyFont="1" applyBorder="1" applyAlignment="1">
      <alignment vertical="center" wrapText="1"/>
    </xf>
    <xf numFmtId="0" fontId="66" fillId="0" borderId="6" xfId="11" applyFont="1" applyBorder="1" applyAlignment="1">
      <alignment horizontal="left" vertical="top" wrapText="1"/>
    </xf>
    <xf numFmtId="4" fontId="5" fillId="0" borderId="0" xfId="11" applyNumberFormat="1" applyFont="1" applyAlignment="1">
      <alignment horizontal="center" vertical="center"/>
    </xf>
    <xf numFmtId="49" fontId="2" fillId="4" borderId="6" xfId="5" applyNumberFormat="1" applyFont="1" applyFill="1" applyBorder="1" applyAlignment="1">
      <alignment vertical="center" wrapText="1"/>
    </xf>
    <xf numFmtId="4" fontId="50" fillId="0" borderId="6" xfId="11" applyNumberFormat="1" applyFont="1" applyBorder="1" applyAlignment="1">
      <alignment horizontal="right" vertical="top" wrapText="1"/>
    </xf>
    <xf numFmtId="4" fontId="67" fillId="0" borderId="6" xfId="0" applyNumberFormat="1" applyFont="1" applyBorder="1" applyAlignment="1" applyProtection="1">
      <alignment horizontal="right" wrapText="1"/>
      <protection locked="0"/>
    </xf>
    <xf numFmtId="4" fontId="31" fillId="5" borderId="0" xfId="5" applyNumberFormat="1" applyFont="1" applyFill="1"/>
    <xf numFmtId="4" fontId="13" fillId="0" borderId="8" xfId="8" applyNumberFormat="1" applyFont="1" applyBorder="1" applyAlignment="1">
      <alignment horizontal="center" vertical="center" wrapText="1"/>
    </xf>
    <xf numFmtId="4" fontId="9" fillId="4" borderId="0" xfId="5" applyNumberFormat="1" applyFont="1" applyFill="1"/>
    <xf numFmtId="4" fontId="4" fillId="4" borderId="0" xfId="5" applyNumberFormat="1" applyFill="1"/>
    <xf numFmtId="4" fontId="4" fillId="4" borderId="1" xfId="5" applyNumberFormat="1" applyFill="1" applyBorder="1"/>
    <xf numFmtId="4" fontId="4" fillId="4" borderId="6" xfId="5" applyNumberFormat="1" applyFill="1" applyBorder="1"/>
    <xf numFmtId="0" fontId="15" fillId="4" borderId="6" xfId="5" applyFont="1" applyFill="1" applyBorder="1" applyAlignment="1">
      <alignment horizontal="center" vertical="top"/>
    </xf>
    <xf numFmtId="4" fontId="36" fillId="4" borderId="6" xfId="5" applyNumberFormat="1" applyFont="1" applyFill="1" applyBorder="1" applyAlignment="1">
      <alignment horizontal="right"/>
    </xf>
    <xf numFmtId="4" fontId="36" fillId="4" borderId="5" xfId="5" applyNumberFormat="1" applyFont="1" applyFill="1" applyBorder="1" applyAlignment="1">
      <alignment horizontal="right"/>
    </xf>
    <xf numFmtId="4" fontId="46" fillId="4" borderId="5" xfId="5" applyNumberFormat="1" applyFont="1" applyFill="1" applyBorder="1" applyAlignment="1">
      <alignment horizontal="right"/>
    </xf>
    <xf numFmtId="3" fontId="36" fillId="4" borderId="6" xfId="2" applyNumberFormat="1" applyFont="1" applyFill="1" applyBorder="1"/>
    <xf numFmtId="4" fontId="36" fillId="4" borderId="6" xfId="2" applyNumberFormat="1" applyFont="1" applyFill="1" applyBorder="1"/>
    <xf numFmtId="4" fontId="4" fillId="4" borderId="25" xfId="2" applyNumberFormat="1" applyFill="1" applyBorder="1"/>
    <xf numFmtId="4" fontId="4" fillId="4" borderId="0" xfId="2" applyNumberFormat="1" applyFill="1"/>
    <xf numFmtId="4" fontId="36" fillId="4" borderId="6" xfId="2" applyNumberFormat="1" applyFont="1" applyFill="1" applyBorder="1" applyAlignment="1">
      <alignment horizontal="right"/>
    </xf>
    <xf numFmtId="0" fontId="3" fillId="0" borderId="2" xfId="0" applyFont="1" applyBorder="1" applyAlignment="1">
      <alignment horizontal="center" vertical="center" textRotation="90"/>
    </xf>
    <xf numFmtId="0" fontId="3" fillId="0" borderId="7" xfId="0" applyFont="1" applyBorder="1" applyAlignment="1">
      <alignment horizontal="center" vertical="center" textRotation="90"/>
    </xf>
    <xf numFmtId="0" fontId="3" fillId="0" borderId="8" xfId="0" applyFont="1" applyBorder="1" applyAlignment="1">
      <alignment horizontal="center" vertical="center" textRotation="90"/>
    </xf>
    <xf numFmtId="0" fontId="3" fillId="14" borderId="3" xfId="0" applyFont="1" applyFill="1" applyBorder="1" applyAlignment="1">
      <alignment horizontal="center"/>
    </xf>
    <xf numFmtId="0" fontId="3" fillId="14" borderId="4" xfId="0" applyFont="1" applyFill="1" applyBorder="1" applyAlignment="1">
      <alignment horizontal="center"/>
    </xf>
    <xf numFmtId="0" fontId="3" fillId="14" borderId="5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7" xfId="0" applyFont="1" applyBorder="1" applyAlignment="1">
      <alignment horizontal="center" vertical="center" textRotation="90" wrapText="1"/>
    </xf>
    <xf numFmtId="0" fontId="2" fillId="0" borderId="8" xfId="0" applyFont="1" applyBorder="1" applyAlignment="1">
      <alignment horizontal="center" vertical="center" textRotation="90" wrapText="1"/>
    </xf>
    <xf numFmtId="49" fontId="2" fillId="0" borderId="2" xfId="0" applyNumberFormat="1" applyFont="1" applyBorder="1" applyAlignment="1">
      <alignment horizontal="center" vertical="center" textRotation="90" wrapText="1"/>
    </xf>
    <xf numFmtId="49" fontId="2" fillId="0" borderId="7" xfId="0" applyNumberFormat="1" applyFont="1" applyBorder="1" applyAlignment="1">
      <alignment horizontal="center" vertical="center" textRotation="90" wrapText="1"/>
    </xf>
    <xf numFmtId="49" fontId="2" fillId="0" borderId="8" xfId="0" applyNumberFormat="1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" fontId="48" fillId="0" borderId="3" xfId="0" applyNumberFormat="1" applyFont="1" applyBorder="1" applyAlignment="1">
      <alignment horizontal="center" vertical="center" wrapText="1"/>
    </xf>
    <xf numFmtId="4" fontId="48" fillId="0" borderId="4" xfId="0" applyNumberFormat="1" applyFont="1" applyBorder="1" applyAlignment="1">
      <alignment horizontal="center" vertical="center" wrapText="1"/>
    </xf>
    <xf numFmtId="4" fontId="48" fillId="0" borderId="5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2" fillId="0" borderId="8" xfId="0" applyNumberFormat="1" applyFont="1" applyBorder="1" applyAlignment="1">
      <alignment horizontal="center" vertical="center" wrapText="1"/>
    </xf>
    <xf numFmtId="4" fontId="14" fillId="0" borderId="6" xfId="5" applyNumberFormat="1" applyFont="1" applyBorder="1" applyAlignment="1">
      <alignment horizontal="center" vertical="center" wrapText="1"/>
    </xf>
    <xf numFmtId="3" fontId="13" fillId="0" borderId="6" xfId="8" applyNumberFormat="1" applyFont="1" applyBorder="1" applyAlignment="1">
      <alignment horizontal="center" vertical="center" wrapText="1"/>
    </xf>
    <xf numFmtId="3" fontId="13" fillId="0" borderId="6" xfId="5" applyNumberFormat="1" applyFont="1" applyBorder="1" applyAlignment="1">
      <alignment horizontal="center" vertical="center" wrapText="1"/>
    </xf>
    <xf numFmtId="4" fontId="13" fillId="0" borderId="6" xfId="5" applyNumberFormat="1" applyFont="1" applyBorder="1" applyAlignment="1">
      <alignment horizontal="center" vertical="center" wrapText="1"/>
    </xf>
    <xf numFmtId="0" fontId="4" fillId="0" borderId="0" xfId="5" applyAlignment="1">
      <alignment horizontal="center" vertical="center" wrapText="1"/>
    </xf>
    <xf numFmtId="0" fontId="13" fillId="0" borderId="6" xfId="5" applyFont="1" applyBorder="1" applyAlignment="1">
      <alignment horizontal="center" vertical="center" textRotation="90" wrapText="1"/>
    </xf>
    <xf numFmtId="0" fontId="13" fillId="0" borderId="6" xfId="5" applyFont="1" applyBorder="1" applyAlignment="1">
      <alignment horizontal="center" vertical="center" wrapText="1"/>
    </xf>
    <xf numFmtId="0" fontId="13" fillId="0" borderId="3" xfId="5" applyFont="1" applyBorder="1" applyAlignment="1">
      <alignment horizontal="center" vertical="center" wrapText="1"/>
    </xf>
    <xf numFmtId="3" fontId="11" fillId="0" borderId="6" xfId="5" applyNumberFormat="1" applyFont="1" applyBorder="1" applyAlignment="1">
      <alignment horizontal="center" vertical="center" wrapText="1"/>
    </xf>
    <xf numFmtId="49" fontId="20" fillId="16" borderId="2" xfId="5" applyNumberFormat="1" applyFont="1" applyFill="1" applyBorder="1" applyAlignment="1" applyProtection="1">
      <alignment horizontal="center" vertical="center" wrapText="1"/>
      <protection locked="0"/>
    </xf>
    <xf numFmtId="49" fontId="20" fillId="16" borderId="7" xfId="5" applyNumberFormat="1" applyFont="1" applyFill="1" applyBorder="1" applyAlignment="1" applyProtection="1">
      <alignment horizontal="center" vertical="center" wrapText="1"/>
      <protection locked="0"/>
    </xf>
    <xf numFmtId="4" fontId="4" fillId="4" borderId="6" xfId="5" applyNumberFormat="1" applyFill="1" applyBorder="1" applyAlignment="1">
      <alignment horizontal="center" wrapText="1"/>
    </xf>
    <xf numFmtId="3" fontId="13" fillId="0" borderId="3" xfId="5" applyNumberFormat="1" applyFont="1" applyBorder="1" applyAlignment="1">
      <alignment horizontal="center" vertical="center" wrapText="1"/>
    </xf>
    <xf numFmtId="3" fontId="13" fillId="0" borderId="4" xfId="5" applyNumberFormat="1" applyFont="1" applyBorder="1" applyAlignment="1">
      <alignment horizontal="center" vertical="center" wrapText="1"/>
    </xf>
    <xf numFmtId="3" fontId="13" fillId="0" borderId="5" xfId="5" applyNumberFormat="1" applyFont="1" applyBorder="1" applyAlignment="1">
      <alignment horizontal="center" vertical="center" wrapText="1"/>
    </xf>
    <xf numFmtId="49" fontId="17" fillId="16" borderId="2" xfId="5" applyNumberFormat="1" applyFont="1" applyFill="1" applyBorder="1" applyAlignment="1" applyProtection="1">
      <alignment horizontal="center" vertical="center" wrapText="1"/>
      <protection locked="0"/>
    </xf>
    <xf numFmtId="49" fontId="17" fillId="16" borderId="7" xfId="5" applyNumberFormat="1" applyFont="1" applyFill="1" applyBorder="1" applyAlignment="1" applyProtection="1">
      <alignment horizontal="center" vertical="center" wrapText="1"/>
      <protection locked="0"/>
    </xf>
    <xf numFmtId="49" fontId="17" fillId="16" borderId="8" xfId="5" applyNumberFormat="1" applyFont="1" applyFill="1" applyBorder="1" applyAlignment="1" applyProtection="1">
      <alignment horizontal="center" vertical="center" wrapText="1"/>
      <protection locked="0"/>
    </xf>
    <xf numFmtId="49" fontId="16" fillId="0" borderId="6" xfId="5" applyNumberFormat="1" applyFont="1" applyBorder="1" applyAlignment="1">
      <alignment horizontal="center" vertical="top"/>
    </xf>
    <xf numFmtId="49" fontId="16" fillId="0" borderId="7" xfId="5" applyNumberFormat="1" applyFont="1" applyBorder="1" applyAlignment="1">
      <alignment horizontal="center" vertical="top"/>
    </xf>
    <xf numFmtId="49" fontId="16" fillId="0" borderId="2" xfId="5" applyNumberFormat="1" applyFont="1" applyBorder="1" applyAlignment="1">
      <alignment horizontal="center" vertical="top"/>
    </xf>
    <xf numFmtId="49" fontId="16" fillId="0" borderId="34" xfId="5" applyNumberFormat="1" applyFont="1" applyBorder="1" applyAlignment="1">
      <alignment horizontal="center" vertical="top"/>
    </xf>
    <xf numFmtId="49" fontId="16" fillId="0" borderId="35" xfId="5" applyNumberFormat="1" applyFont="1" applyBorder="1" applyAlignment="1">
      <alignment horizontal="center" vertical="top"/>
    </xf>
    <xf numFmtId="49" fontId="16" fillId="0" borderId="8" xfId="5" applyNumberFormat="1" applyFont="1" applyBorder="1" applyAlignment="1">
      <alignment horizontal="center" vertical="top"/>
    </xf>
    <xf numFmtId="49" fontId="16" fillId="0" borderId="26" xfId="5" applyNumberFormat="1" applyFont="1" applyBorder="1" applyAlignment="1">
      <alignment horizontal="center" vertical="top"/>
    </xf>
    <xf numFmtId="49" fontId="16" fillId="0" borderId="25" xfId="5" applyNumberFormat="1" applyFont="1" applyBorder="1" applyAlignment="1">
      <alignment horizontal="center" vertical="top"/>
    </xf>
    <xf numFmtId="49" fontId="16" fillId="0" borderId="24" xfId="5" applyNumberFormat="1" applyFont="1" applyBorder="1" applyAlignment="1">
      <alignment horizontal="center" vertical="top"/>
    </xf>
    <xf numFmtId="49" fontId="16" fillId="0" borderId="0" xfId="5" applyNumberFormat="1" applyFont="1" applyAlignment="1">
      <alignment horizontal="center" vertical="top"/>
    </xf>
    <xf numFmtId="49" fontId="16" fillId="0" borderId="5" xfId="5" applyNumberFormat="1" applyFont="1" applyBorder="1" applyAlignment="1">
      <alignment horizontal="center" vertical="top"/>
    </xf>
    <xf numFmtId="49" fontId="3" fillId="0" borderId="2" xfId="7" applyNumberFormat="1" applyFont="1" applyBorder="1" applyAlignment="1">
      <alignment horizontal="center" vertical="top"/>
    </xf>
    <xf numFmtId="49" fontId="3" fillId="0" borderId="7" xfId="7" applyNumberFormat="1" applyFont="1" applyBorder="1" applyAlignment="1">
      <alignment horizontal="center" vertical="top"/>
    </xf>
    <xf numFmtId="49" fontId="16" fillId="0" borderId="30" xfId="5" applyNumberFormat="1" applyFont="1" applyBorder="1" applyAlignment="1">
      <alignment horizontal="center" vertical="top"/>
    </xf>
    <xf numFmtId="49" fontId="16" fillId="0" borderId="31" xfId="5" applyNumberFormat="1" applyFont="1" applyBorder="1" applyAlignment="1">
      <alignment horizontal="center" vertical="top"/>
    </xf>
    <xf numFmtId="49" fontId="16" fillId="0" borderId="33" xfId="5" applyNumberFormat="1" applyFont="1" applyBorder="1" applyAlignment="1">
      <alignment horizontal="center" vertical="top"/>
    </xf>
    <xf numFmtId="49" fontId="20" fillId="16" borderId="12" xfId="5" applyNumberFormat="1" applyFont="1" applyFill="1" applyBorder="1" applyAlignment="1" applyProtection="1">
      <alignment horizontal="center" vertical="center" wrapText="1"/>
      <protection locked="0"/>
    </xf>
    <xf numFmtId="49" fontId="7" fillId="0" borderId="6" xfId="5" applyNumberFormat="1" applyFont="1" applyBorder="1" applyAlignment="1">
      <alignment horizontal="center" vertical="top"/>
    </xf>
    <xf numFmtId="49" fontId="16" fillId="0" borderId="6" xfId="2" applyNumberFormat="1" applyFont="1" applyBorder="1" applyAlignment="1">
      <alignment horizontal="center" vertical="top"/>
    </xf>
    <xf numFmtId="0" fontId="46" fillId="0" borderId="3" xfId="5" applyFont="1" applyBorder="1" applyAlignment="1">
      <alignment horizontal="center"/>
    </xf>
    <xf numFmtId="0" fontId="46" fillId="0" borderId="4" xfId="5" applyFont="1" applyBorder="1" applyAlignment="1">
      <alignment horizontal="center"/>
    </xf>
    <xf numFmtId="0" fontId="46" fillId="0" borderId="5" xfId="5" applyFont="1" applyBorder="1" applyAlignment="1">
      <alignment horizontal="center"/>
    </xf>
    <xf numFmtId="0" fontId="36" fillId="15" borderId="3" xfId="5" applyFont="1" applyFill="1" applyBorder="1" applyAlignment="1">
      <alignment horizontal="center"/>
    </xf>
    <xf numFmtId="0" fontId="36" fillId="15" borderId="4" xfId="5" applyFont="1" applyFill="1" applyBorder="1" applyAlignment="1">
      <alignment horizontal="center"/>
    </xf>
    <xf numFmtId="0" fontId="36" fillId="15" borderId="5" xfId="5" applyFont="1" applyFill="1" applyBorder="1" applyAlignment="1">
      <alignment horizontal="center"/>
    </xf>
    <xf numFmtId="3" fontId="36" fillId="0" borderId="6" xfId="2" applyNumberFormat="1" applyFont="1" applyBorder="1" applyAlignment="1">
      <alignment horizontal="center" vertical="center"/>
    </xf>
    <xf numFmtId="0" fontId="36" fillId="0" borderId="6" xfId="2" applyFont="1" applyBorder="1" applyAlignment="1">
      <alignment horizontal="center" vertical="center"/>
    </xf>
    <xf numFmtId="49" fontId="16" fillId="0" borderId="23" xfId="5" applyNumberFormat="1" applyFont="1" applyBorder="1" applyAlignment="1">
      <alignment horizontal="center" vertical="top"/>
    </xf>
    <xf numFmtId="49" fontId="16" fillId="0" borderId="12" xfId="5" applyNumberFormat="1" applyFont="1" applyBorder="1" applyAlignment="1">
      <alignment horizontal="center" vertical="top"/>
    </xf>
    <xf numFmtId="49" fontId="16" fillId="0" borderId="14" xfId="5" applyNumberFormat="1" applyFont="1" applyBorder="1" applyAlignment="1">
      <alignment horizontal="center" vertical="top"/>
    </xf>
    <xf numFmtId="49" fontId="16" fillId="0" borderId="36" xfId="5" applyNumberFormat="1" applyFont="1" applyBorder="1" applyAlignment="1">
      <alignment horizontal="center" vertical="top"/>
    </xf>
    <xf numFmtId="0" fontId="13" fillId="0" borderId="2" xfId="5" applyFont="1" applyBorder="1" applyAlignment="1">
      <alignment horizontal="center" vertical="center" textRotation="90" wrapText="1"/>
    </xf>
    <xf numFmtId="0" fontId="13" fillId="0" borderId="7" xfId="5" applyFont="1" applyBorder="1" applyAlignment="1">
      <alignment horizontal="center" vertical="center" textRotation="90" wrapText="1"/>
    </xf>
    <xf numFmtId="0" fontId="13" fillId="0" borderId="8" xfId="5" applyFont="1" applyBorder="1" applyAlignment="1">
      <alignment horizontal="center" vertical="center" textRotation="90" wrapText="1"/>
    </xf>
    <xf numFmtId="0" fontId="13" fillId="0" borderId="2" xfId="5" applyFont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 wrapText="1"/>
    </xf>
    <xf numFmtId="0" fontId="13" fillId="0" borderId="8" xfId="5" applyFont="1" applyBorder="1" applyAlignment="1">
      <alignment horizontal="center" vertical="center" wrapText="1"/>
    </xf>
    <xf numFmtId="4" fontId="14" fillId="0" borderId="3" xfId="5" applyNumberFormat="1" applyFont="1" applyBorder="1" applyAlignment="1">
      <alignment horizontal="center" vertical="center" wrapText="1"/>
    </xf>
    <xf numFmtId="4" fontId="14" fillId="0" borderId="4" xfId="5" applyNumberFormat="1" applyFont="1" applyBorder="1" applyAlignment="1">
      <alignment horizontal="center" vertical="center" wrapText="1"/>
    </xf>
    <xf numFmtId="4" fontId="14" fillId="0" borderId="5" xfId="5" applyNumberFormat="1" applyFont="1" applyBorder="1" applyAlignment="1">
      <alignment horizontal="center" vertical="center" wrapText="1"/>
    </xf>
    <xf numFmtId="3" fontId="13" fillId="0" borderId="2" xfId="5" applyNumberFormat="1" applyFont="1" applyBorder="1" applyAlignment="1">
      <alignment horizontal="center" vertical="center" wrapText="1"/>
    </xf>
    <xf numFmtId="3" fontId="13" fillId="0" borderId="8" xfId="5" applyNumberFormat="1" applyFont="1" applyBorder="1" applyAlignment="1">
      <alignment horizontal="center" vertical="center" wrapText="1"/>
    </xf>
    <xf numFmtId="4" fontId="13" fillId="0" borderId="2" xfId="5" applyNumberFormat="1" applyFont="1" applyBorder="1" applyAlignment="1">
      <alignment horizontal="center" vertical="center" wrapText="1"/>
    </xf>
    <xf numFmtId="4" fontId="13" fillId="0" borderId="8" xfId="5" applyNumberFormat="1" applyFont="1" applyBorder="1" applyAlignment="1">
      <alignment horizontal="center" vertical="center" wrapText="1"/>
    </xf>
    <xf numFmtId="49" fontId="3" fillId="0" borderId="8" xfId="7" applyNumberFormat="1" applyFont="1" applyBorder="1" applyAlignment="1">
      <alignment horizontal="center" vertical="top"/>
    </xf>
    <xf numFmtId="49" fontId="52" fillId="16" borderId="2" xfId="8" applyNumberFormat="1" applyFont="1" applyFill="1" applyBorder="1" applyAlignment="1" applyProtection="1">
      <alignment horizontal="center" vertical="center" wrapText="1"/>
      <protection locked="0"/>
    </xf>
    <xf numFmtId="49" fontId="52" fillId="16" borderId="7" xfId="8" applyNumberFormat="1" applyFont="1" applyFill="1" applyBorder="1" applyAlignment="1" applyProtection="1">
      <alignment horizontal="center" vertical="center" wrapText="1"/>
      <protection locked="0"/>
    </xf>
    <xf numFmtId="49" fontId="52" fillId="16" borderId="8" xfId="8" applyNumberFormat="1" applyFont="1" applyFill="1" applyBorder="1" applyAlignment="1" applyProtection="1">
      <alignment horizontal="center" vertical="center" wrapText="1"/>
      <protection locked="0"/>
    </xf>
    <xf numFmtId="0" fontId="36" fillId="23" borderId="3" xfId="8" applyFont="1" applyFill="1" applyBorder="1" applyAlignment="1">
      <alignment horizontal="center"/>
    </xf>
    <xf numFmtId="0" fontId="36" fillId="23" borderId="4" xfId="8" applyFont="1" applyFill="1" applyBorder="1" applyAlignment="1">
      <alignment horizontal="center"/>
    </xf>
    <xf numFmtId="0" fontId="36" fillId="23" borderId="5" xfId="8" applyFont="1" applyFill="1" applyBorder="1" applyAlignment="1">
      <alignment horizontal="center"/>
    </xf>
    <xf numFmtId="49" fontId="2" fillId="0" borderId="2" xfId="7" applyNumberFormat="1" applyFont="1" applyBorder="1" applyAlignment="1">
      <alignment horizontal="center" vertical="top"/>
    </xf>
    <xf numFmtId="49" fontId="2" fillId="0" borderId="8" xfId="7" applyNumberFormat="1" applyFont="1" applyBorder="1" applyAlignment="1">
      <alignment horizontal="center" vertical="top"/>
    </xf>
    <xf numFmtId="0" fontId="15" fillId="0" borderId="2" xfId="8" applyFont="1" applyBorder="1" applyAlignment="1">
      <alignment horizontal="center" vertical="top"/>
    </xf>
    <xf numFmtId="0" fontId="15" fillId="0" borderId="7" xfId="8" applyFont="1" applyBorder="1" applyAlignment="1">
      <alignment horizontal="center" vertical="top"/>
    </xf>
    <xf numFmtId="0" fontId="15" fillId="0" borderId="8" xfId="8" applyFont="1" applyBorder="1" applyAlignment="1">
      <alignment horizontal="center" vertical="top"/>
    </xf>
    <xf numFmtId="49" fontId="52" fillId="16" borderId="2" xfId="5" applyNumberFormat="1" applyFont="1" applyFill="1" applyBorder="1" applyAlignment="1" applyProtection="1">
      <alignment horizontal="center" vertical="center" wrapText="1"/>
      <protection locked="0"/>
    </xf>
    <xf numFmtId="49" fontId="52" fillId="16" borderId="7" xfId="5" applyNumberFormat="1" applyFont="1" applyFill="1" applyBorder="1" applyAlignment="1" applyProtection="1">
      <alignment horizontal="center" vertical="center" wrapText="1"/>
      <protection locked="0"/>
    </xf>
    <xf numFmtId="49" fontId="52" fillId="16" borderId="8" xfId="5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8" applyFont="1" applyAlignment="1">
      <alignment horizontal="center" vertical="center" wrapText="1"/>
    </xf>
    <xf numFmtId="0" fontId="4" fillId="0" borderId="0" xfId="8" applyAlignment="1">
      <alignment horizontal="center" vertical="center" wrapText="1"/>
    </xf>
    <xf numFmtId="0" fontId="13" fillId="0" borderId="6" xfId="8" applyFont="1" applyBorder="1" applyAlignment="1">
      <alignment horizontal="center" vertical="center" textRotation="90" wrapText="1"/>
    </xf>
    <xf numFmtId="0" fontId="13" fillId="0" borderId="6" xfId="8" applyFont="1" applyBorder="1" applyAlignment="1">
      <alignment horizontal="center" vertical="center" wrapText="1"/>
    </xf>
    <xf numFmtId="3" fontId="11" fillId="0" borderId="6" xfId="8" applyNumberFormat="1" applyFont="1" applyBorder="1" applyAlignment="1">
      <alignment horizontal="center" vertical="center" wrapText="1"/>
    </xf>
    <xf numFmtId="3" fontId="14" fillId="0" borderId="6" xfId="8" applyNumberFormat="1" applyFont="1" applyBorder="1" applyAlignment="1">
      <alignment horizontal="center" vertical="center" wrapText="1"/>
    </xf>
    <xf numFmtId="4" fontId="13" fillId="0" borderId="2" xfId="8" applyNumberFormat="1" applyFont="1" applyBorder="1" applyAlignment="1">
      <alignment horizontal="center" vertical="center" wrapText="1"/>
    </xf>
    <xf numFmtId="4" fontId="13" fillId="0" borderId="8" xfId="8" applyNumberFormat="1" applyFont="1" applyBorder="1" applyAlignment="1">
      <alignment horizontal="center" vertical="center" wrapText="1"/>
    </xf>
    <xf numFmtId="0" fontId="36" fillId="10" borderId="3" xfId="5" applyFont="1" applyFill="1" applyBorder="1" applyAlignment="1">
      <alignment horizontal="center"/>
    </xf>
    <xf numFmtId="0" fontId="36" fillId="10" borderId="4" xfId="5" applyFont="1" applyFill="1" applyBorder="1" applyAlignment="1">
      <alignment horizontal="center"/>
    </xf>
    <xf numFmtId="0" fontId="36" fillId="10" borderId="5" xfId="5" applyFont="1" applyFill="1" applyBorder="1" applyAlignment="1">
      <alignment horizontal="center"/>
    </xf>
    <xf numFmtId="3" fontId="13" fillId="0" borderId="7" xfId="5" applyNumberFormat="1" applyFont="1" applyBorder="1" applyAlignment="1">
      <alignment horizontal="center" vertical="center" wrapText="1"/>
    </xf>
    <xf numFmtId="0" fontId="4" fillId="0" borderId="2" xfId="5" applyBorder="1" applyAlignment="1">
      <alignment horizontal="center"/>
    </xf>
    <xf numFmtId="0" fontId="4" fillId="0" borderId="7" xfId="5" applyBorder="1" applyAlignment="1">
      <alignment horizontal="center"/>
    </xf>
    <xf numFmtId="0" fontId="4" fillId="0" borderId="8" xfId="5" applyBorder="1" applyAlignment="1">
      <alignment horizontal="center"/>
    </xf>
    <xf numFmtId="3" fontId="14" fillId="0" borderId="6" xfId="5" applyNumberFormat="1" applyFont="1" applyBorder="1" applyAlignment="1">
      <alignment horizontal="center" vertical="center" wrapText="1"/>
    </xf>
    <xf numFmtId="0" fontId="50" fillId="0" borderId="0" xfId="11" applyFont="1" applyAlignment="1">
      <alignment horizontal="center" vertical="center" wrapText="1"/>
    </xf>
    <xf numFmtId="0" fontId="50" fillId="0" borderId="1" xfId="11" applyFont="1" applyBorder="1" applyAlignment="1">
      <alignment horizontal="center" vertical="center" wrapText="1"/>
    </xf>
    <xf numFmtId="0" fontId="5" fillId="0" borderId="6" xfId="11" applyFont="1" applyBorder="1" applyAlignment="1">
      <alignment horizontal="center" vertical="center" textRotation="90" wrapText="1"/>
    </xf>
    <xf numFmtId="0" fontId="5" fillId="0" borderId="6" xfId="11" applyFont="1" applyBorder="1" applyAlignment="1">
      <alignment horizontal="center" vertical="center" wrapText="1"/>
    </xf>
    <xf numFmtId="4" fontId="5" fillId="0" borderId="6" xfId="11" applyNumberFormat="1" applyFont="1" applyBorder="1" applyAlignment="1">
      <alignment horizontal="center" vertical="center" wrapText="1"/>
    </xf>
    <xf numFmtId="0" fontId="5" fillId="0" borderId="2" xfId="11" applyFont="1" applyBorder="1" applyAlignment="1">
      <alignment horizontal="center" vertical="center" wrapText="1"/>
    </xf>
    <xf numFmtId="0" fontId="5" fillId="0" borderId="7" xfId="11" applyFont="1" applyBorder="1" applyAlignment="1">
      <alignment horizontal="center" vertical="center" wrapText="1"/>
    </xf>
    <xf numFmtId="0" fontId="5" fillId="0" borderId="8" xfId="11" applyFont="1" applyBorder="1" applyAlignment="1">
      <alignment horizontal="center" vertical="center" wrapText="1"/>
    </xf>
  </cellXfs>
  <cellStyles count="18">
    <cellStyle name="Dziesiętny" xfId="1" builtinId="3"/>
    <cellStyle name="Dziesiętny 2" xfId="9" xr:uid="{B3BE9D6F-CB11-48CF-9DB7-D94DF762CE24}"/>
    <cellStyle name="Dziesiętny 3" xfId="16" xr:uid="{68CF56CA-649F-4BA8-BE64-9BF2E9B130B0}"/>
    <cellStyle name="Normalny" xfId="0" builtinId="0"/>
    <cellStyle name="Normalny 2" xfId="5" xr:uid="{6018F286-4B11-40D6-8EE3-3A12AC2BECA0}"/>
    <cellStyle name="Normalny 2 2" xfId="8" xr:uid="{A65FDC4C-5DAD-4241-8572-70DB0E457C85}"/>
    <cellStyle name="Normalny 3" xfId="15" xr:uid="{963DAFEF-D7F3-4548-B37D-CAE19BA03C54}"/>
    <cellStyle name="Normalny 4" xfId="12" xr:uid="{66BD6370-B2AF-4599-B379-100CD9CDF1C2}"/>
    <cellStyle name="Normalny 4 2" xfId="14" xr:uid="{C28C5D97-3EDF-4DAD-9CD1-CFF579F073BF}"/>
    <cellStyle name="Normalny 5" xfId="3" xr:uid="{AD232B72-6142-4BFF-9CF9-8D32203A4660}"/>
    <cellStyle name="Normalny 5 2" xfId="10" xr:uid="{464A1408-2ECB-4F8C-A442-50D6A3DCC534}"/>
    <cellStyle name="Normalny 5 2 2" xfId="17" xr:uid="{81C6076B-1916-440C-8FEC-70686641EEF4}"/>
    <cellStyle name="Normalny_Prognoza dochodów na zadania zlecone i powierzone p.M" xfId="4" xr:uid="{F8CAB02C-4C98-406E-89AF-2DF59711FA0A}"/>
    <cellStyle name="Normalny_prognoza wydatków na 2008 r. budżet" xfId="11" xr:uid="{D05A0A8D-919C-44C4-857F-0684818DDF43}"/>
    <cellStyle name="Normalny_układ wykonawczy do uchwały budżetowej na 2006 r." xfId="2" xr:uid="{41C691D7-585C-4C5B-97DF-FEEF646B1409}"/>
    <cellStyle name="Normalny_zał 3" xfId="7" xr:uid="{E0E2CFA7-EE99-4F72-BD34-7AC2F41038B6}"/>
    <cellStyle name="Procentowy" xfId="13" builtinId="5"/>
    <cellStyle name="Procentowy 2" xfId="6" xr:uid="{39B18662-348E-43A8-B50A-23C299C2C4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b.bak\Desktop\bud&#380;et%20na%202025\Kopia%20Kopia%20Prognoza%20na%202025%20r.xlsx" TargetMode="External"/><Relationship Id="rId1" Type="http://schemas.openxmlformats.org/officeDocument/2006/relationships/externalLinkPath" Target="/Users/b.bak/Desktop/bud&#380;et%20na%202025/Kopia%20Kopia%20Prognoza%20na%202025%20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z.mazur/Documents/Bud&#380;et/Bud&#380;et%202023/Plan%20dochod&#243;w%20i%20wydatk&#243;w%202023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b.bak\Desktop\bud&#380;et%20na%202026\Prognoza%20na%202026%20r%20odzyskana.xlsx" TargetMode="External"/><Relationship Id="rId1" Type="http://schemas.openxmlformats.org/officeDocument/2006/relationships/externalLinkPath" Target="/Users/b.bak/Desktop/bud&#380;et%20na%202026/Prognoza%20na%202026%20r%20odzyskan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ochody"/>
      <sheetName val="wydatki własne"/>
      <sheetName val="wydatki zlecone"/>
      <sheetName val="wydatki pow"/>
      <sheetName val="wyd. inw"/>
      <sheetName val="budżet 31.08.2022"/>
    </sheetNames>
    <sheetDataSet>
      <sheetData sheetId="0" refreshError="1"/>
      <sheetData sheetId="1" refreshError="1">
        <row r="105">
          <cell r="J105">
            <v>723206.32</v>
          </cell>
        </row>
        <row r="1961">
          <cell r="D1961">
            <v>119183861.00999999</v>
          </cell>
          <cell r="E1961">
            <v>139593506.63</v>
          </cell>
          <cell r="F1961">
            <v>134332209.38999999</v>
          </cell>
        </row>
      </sheetData>
      <sheetData sheetId="2" refreshError="1">
        <row r="83">
          <cell r="J83">
            <v>691845</v>
          </cell>
        </row>
        <row r="325">
          <cell r="E325">
            <v>11339661</v>
          </cell>
          <cell r="F325">
            <v>13057779.73</v>
          </cell>
          <cell r="G325">
            <v>13541855.150000002</v>
          </cell>
        </row>
        <row r="331">
          <cell r="E331">
            <v>0</v>
          </cell>
          <cell r="F331">
            <v>0</v>
          </cell>
          <cell r="G331">
            <v>0</v>
          </cell>
        </row>
      </sheetData>
      <sheetData sheetId="3" refreshError="1">
        <row r="57">
          <cell r="E57">
            <v>346238</v>
          </cell>
          <cell r="F57">
            <v>376504</v>
          </cell>
          <cell r="G57">
            <v>376504</v>
          </cell>
        </row>
      </sheetData>
      <sheetData sheetId="4" refreshError="1">
        <row r="47">
          <cell r="I47">
            <v>8981267</v>
          </cell>
        </row>
        <row r="57">
          <cell r="E57">
            <v>32180190</v>
          </cell>
          <cell r="F57">
            <v>42162346.5</v>
          </cell>
          <cell r="H57">
            <v>23207658.870000001</v>
          </cell>
        </row>
      </sheetData>
      <sheetData sheetId="5" refreshError="1">
        <row r="7">
          <cell r="H7">
            <v>0</v>
          </cell>
        </row>
        <row r="61">
          <cell r="H61">
            <v>0</v>
          </cell>
          <cell r="J61">
            <v>0</v>
          </cell>
        </row>
        <row r="63">
          <cell r="H63">
            <v>0</v>
          </cell>
        </row>
        <row r="90">
          <cell r="H90">
            <v>0</v>
          </cell>
        </row>
        <row r="113">
          <cell r="I113">
            <v>0</v>
          </cell>
        </row>
        <row r="115">
          <cell r="H115">
            <v>0</v>
          </cell>
        </row>
        <row r="122">
          <cell r="H122">
            <v>0</v>
          </cell>
        </row>
        <row r="125">
          <cell r="H125">
            <v>0</v>
          </cell>
        </row>
        <row r="126">
          <cell r="H126">
            <v>0</v>
          </cell>
        </row>
        <row r="127">
          <cell r="H127">
            <v>0</v>
          </cell>
          <cell r="J127">
            <v>0</v>
          </cell>
        </row>
        <row r="130">
          <cell r="H130">
            <v>0</v>
          </cell>
        </row>
        <row r="131">
          <cell r="H131">
            <v>0</v>
          </cell>
        </row>
        <row r="133">
          <cell r="H133">
            <v>0</v>
          </cell>
        </row>
        <row r="134">
          <cell r="H134">
            <v>0</v>
          </cell>
        </row>
        <row r="135">
          <cell r="H135">
            <v>0</v>
          </cell>
        </row>
        <row r="137">
          <cell r="H137">
            <v>0</v>
          </cell>
        </row>
        <row r="140">
          <cell r="H140">
            <v>0</v>
          </cell>
        </row>
        <row r="143">
          <cell r="H143">
            <v>0</v>
          </cell>
        </row>
        <row r="144">
          <cell r="H144">
            <v>0</v>
          </cell>
        </row>
        <row r="154">
          <cell r="H154">
            <v>0</v>
          </cell>
        </row>
        <row r="170">
          <cell r="H170">
            <v>4000</v>
          </cell>
        </row>
        <row r="174">
          <cell r="H174">
            <v>0</v>
          </cell>
        </row>
        <row r="178">
          <cell r="H178">
            <v>0</v>
          </cell>
        </row>
        <row r="180">
          <cell r="H180">
            <v>0</v>
          </cell>
        </row>
        <row r="181">
          <cell r="H181">
            <v>0</v>
          </cell>
        </row>
        <row r="182">
          <cell r="H182">
            <v>0</v>
          </cell>
        </row>
        <row r="186">
          <cell r="H186">
            <v>0</v>
          </cell>
        </row>
        <row r="187">
          <cell r="H187">
            <v>0</v>
          </cell>
        </row>
        <row r="188">
          <cell r="H188">
            <v>0</v>
          </cell>
        </row>
        <row r="205">
          <cell r="H205">
            <v>0</v>
          </cell>
        </row>
        <row r="221">
          <cell r="H221">
            <v>0</v>
          </cell>
        </row>
        <row r="222">
          <cell r="H222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ochody"/>
      <sheetName val="wydatki własne"/>
      <sheetName val="wydatki zlecone"/>
      <sheetName val="wydatki pow"/>
      <sheetName val="wyd. inw"/>
      <sheetName val="wykonanie 08 2022"/>
      <sheetName val="Własne b"/>
      <sheetName val="zał.2"/>
      <sheetName val="Wykonanie 08 2020"/>
      <sheetName val="Arkusz1"/>
      <sheetName val="remonty"/>
      <sheetName val="wyd. inw (2)"/>
    </sheetNames>
    <sheetDataSet>
      <sheetData sheetId="0"/>
      <sheetData sheetId="1"/>
      <sheetData sheetId="2"/>
      <sheetData sheetId="3"/>
      <sheetData sheetId="4">
        <row r="19">
          <cell r="E19">
            <v>5527962</v>
          </cell>
        </row>
      </sheetData>
      <sheetData sheetId="5">
        <row r="2">
          <cell r="L2">
            <v>0</v>
          </cell>
        </row>
        <row r="243">
          <cell r="T243">
            <v>0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ochody "/>
      <sheetName val="wydatki własne"/>
      <sheetName val="wydatki zlecone"/>
      <sheetName val="wydatki pow"/>
      <sheetName val="wyd. inw"/>
      <sheetName val="Wykonanie 8 2025"/>
    </sheetNames>
    <sheetDataSet>
      <sheetData sheetId="0">
        <row r="30">
          <cell r="H30">
            <v>229303</v>
          </cell>
        </row>
      </sheetData>
      <sheetData sheetId="1" refreshError="1"/>
      <sheetData sheetId="2"/>
      <sheetData sheetId="3"/>
      <sheetData sheetId="4" refreshError="1"/>
      <sheetData sheetId="5">
        <row r="286">
          <cell r="I286">
            <v>162678</v>
          </cell>
        </row>
        <row r="292">
          <cell r="I292">
            <v>10701</v>
          </cell>
        </row>
        <row r="298">
          <cell r="I298">
            <v>98198.86</v>
          </cell>
        </row>
        <row r="300">
          <cell r="I300">
            <v>11471.54</v>
          </cell>
        </row>
        <row r="301">
          <cell r="I301">
            <v>0</v>
          </cell>
        </row>
        <row r="304">
          <cell r="I304">
            <v>1000</v>
          </cell>
        </row>
        <row r="306">
          <cell r="I306">
            <v>941.6</v>
          </cell>
        </row>
        <row r="313">
          <cell r="I313">
            <v>0</v>
          </cell>
        </row>
        <row r="338">
          <cell r="I338">
            <v>211472</v>
          </cell>
        </row>
        <row r="346">
          <cell r="I346">
            <v>346028</v>
          </cell>
        </row>
        <row r="353">
          <cell r="I353">
            <v>800</v>
          </cell>
        </row>
        <row r="354">
          <cell r="I354">
            <v>336984</v>
          </cell>
        </row>
        <row r="355">
          <cell r="I355">
            <v>200000</v>
          </cell>
        </row>
        <row r="356">
          <cell r="I356">
            <v>38000</v>
          </cell>
        </row>
        <row r="357">
          <cell r="I357">
            <v>102000</v>
          </cell>
        </row>
        <row r="358">
          <cell r="I358">
            <v>9261</v>
          </cell>
        </row>
        <row r="359">
          <cell r="I359">
            <v>5600</v>
          </cell>
        </row>
        <row r="360">
          <cell r="I360">
            <v>31000</v>
          </cell>
        </row>
        <row r="361">
          <cell r="I361">
            <v>3416</v>
          </cell>
        </row>
        <row r="362">
          <cell r="I362">
            <v>400</v>
          </cell>
        </row>
        <row r="363">
          <cell r="I363">
            <v>86000</v>
          </cell>
        </row>
        <row r="364">
          <cell r="I364">
            <v>3300</v>
          </cell>
        </row>
        <row r="365">
          <cell r="I365">
            <v>2000</v>
          </cell>
        </row>
        <row r="366">
          <cell r="I366">
            <v>16115</v>
          </cell>
        </row>
        <row r="367">
          <cell r="I367">
            <v>0</v>
          </cell>
        </row>
        <row r="368">
          <cell r="I368">
            <v>124</v>
          </cell>
        </row>
        <row r="369">
          <cell r="I369">
            <v>0</v>
          </cell>
        </row>
        <row r="379">
          <cell r="I379">
            <v>102900</v>
          </cell>
        </row>
        <row r="464">
          <cell r="I464">
            <v>7712</v>
          </cell>
        </row>
        <row r="465">
          <cell r="I465">
            <v>3606.79</v>
          </cell>
        </row>
        <row r="466">
          <cell r="I466">
            <v>306.85000000000002</v>
          </cell>
        </row>
        <row r="467">
          <cell r="I467">
            <v>17759.43</v>
          </cell>
        </row>
        <row r="468">
          <cell r="I468">
            <v>5314.93</v>
          </cell>
        </row>
        <row r="469">
          <cell r="I469">
            <v>300</v>
          </cell>
        </row>
        <row r="470">
          <cell r="I470">
            <v>9000</v>
          </cell>
        </row>
        <row r="473">
          <cell r="I473">
            <v>180000</v>
          </cell>
        </row>
        <row r="475">
          <cell r="I475">
            <v>34638</v>
          </cell>
        </row>
        <row r="476">
          <cell r="I476">
            <v>80417</v>
          </cell>
        </row>
        <row r="478">
          <cell r="I478">
            <v>9550</v>
          </cell>
        </row>
        <row r="481">
          <cell r="I481">
            <v>7581524.6799999997</v>
          </cell>
        </row>
        <row r="483">
          <cell r="I483">
            <v>200701.32</v>
          </cell>
        </row>
        <row r="485">
          <cell r="I485">
            <v>603510</v>
          </cell>
        </row>
        <row r="487">
          <cell r="I487">
            <v>17729.599999999999</v>
          </cell>
        </row>
        <row r="489">
          <cell r="I489">
            <v>23350</v>
          </cell>
        </row>
        <row r="490">
          <cell r="I490">
            <v>4760</v>
          </cell>
        </row>
        <row r="492">
          <cell r="I492">
            <v>5100</v>
          </cell>
        </row>
        <row r="495">
          <cell r="I495">
            <v>1287656.3999999999</v>
          </cell>
        </row>
        <row r="496">
          <cell r="I496">
            <v>145649</v>
          </cell>
        </row>
        <row r="499">
          <cell r="I499">
            <v>1163</v>
          </cell>
        </row>
        <row r="500">
          <cell r="I500">
            <v>150000</v>
          </cell>
        </row>
        <row r="502">
          <cell r="I502">
            <v>20000</v>
          </cell>
        </row>
        <row r="505">
          <cell r="I505">
            <v>32500</v>
          </cell>
        </row>
        <row r="506">
          <cell r="I506">
            <v>83812.899999999994</v>
          </cell>
        </row>
        <row r="509">
          <cell r="I509">
            <v>20000</v>
          </cell>
        </row>
        <row r="511">
          <cell r="I511">
            <v>35000</v>
          </cell>
        </row>
        <row r="513">
          <cell r="I513">
            <v>449</v>
          </cell>
        </row>
        <row r="514">
          <cell r="I514">
            <v>4085.1</v>
          </cell>
        </row>
        <row r="517">
          <cell r="I517">
            <v>25753</v>
          </cell>
        </row>
        <row r="519">
          <cell r="I519">
            <v>300</v>
          </cell>
        </row>
        <row r="533">
          <cell r="I533">
            <v>137706.20000000001</v>
          </cell>
        </row>
        <row r="534">
          <cell r="I534">
            <v>6000</v>
          </cell>
        </row>
        <row r="535">
          <cell r="I535">
            <v>510</v>
          </cell>
        </row>
        <row r="536">
          <cell r="I536">
            <v>1102.1400000000001</v>
          </cell>
        </row>
        <row r="537">
          <cell r="I537">
            <v>159.5</v>
          </cell>
        </row>
        <row r="538">
          <cell r="I538">
            <v>1215.3900000000001</v>
          </cell>
        </row>
        <row r="539">
          <cell r="I539">
            <v>1600</v>
          </cell>
        </row>
        <row r="540">
          <cell r="I540">
            <v>70853.119999999995</v>
          </cell>
        </row>
        <row r="541">
          <cell r="I541">
            <v>500</v>
          </cell>
        </row>
        <row r="542">
          <cell r="I542">
            <v>97.65</v>
          </cell>
        </row>
        <row r="879">
          <cell r="I879">
            <v>9202.92</v>
          </cell>
        </row>
        <row r="882">
          <cell r="I882">
            <v>396.81</v>
          </cell>
        </row>
        <row r="883">
          <cell r="I883">
            <v>8857.15</v>
          </cell>
        </row>
        <row r="884">
          <cell r="I884">
            <v>21624.39</v>
          </cell>
        </row>
        <row r="951">
          <cell r="I951">
            <v>960</v>
          </cell>
        </row>
        <row r="983">
          <cell r="I983">
            <v>30600</v>
          </cell>
        </row>
        <row r="1034">
          <cell r="I1034">
            <v>4132.8</v>
          </cell>
        </row>
        <row r="1052">
          <cell r="I1052">
            <v>300</v>
          </cell>
        </row>
        <row r="1054">
          <cell r="I1054">
            <v>234320.5</v>
          </cell>
        </row>
        <row r="1055">
          <cell r="I1055">
            <v>20417.7</v>
          </cell>
        </row>
        <row r="1057">
          <cell r="I1057">
            <v>42552.46</v>
          </cell>
        </row>
        <row r="1059">
          <cell r="I1059">
            <v>6157.92</v>
          </cell>
        </row>
        <row r="1061">
          <cell r="I1061">
            <v>73000</v>
          </cell>
        </row>
        <row r="1063">
          <cell r="I1063">
            <v>9081.2199999999993</v>
          </cell>
        </row>
        <row r="1065">
          <cell r="I1065">
            <v>10000</v>
          </cell>
        </row>
        <row r="1067">
          <cell r="I1067">
            <v>169000</v>
          </cell>
        </row>
        <row r="1069">
          <cell r="I1069">
            <v>42000</v>
          </cell>
        </row>
        <row r="1072">
          <cell r="I1072">
            <v>3000</v>
          </cell>
        </row>
        <row r="1074">
          <cell r="I1074">
            <v>8170.2</v>
          </cell>
        </row>
        <row r="1104">
          <cell r="I1104">
            <v>39732</v>
          </cell>
        </row>
        <row r="1296">
          <cell r="I1296">
            <v>1000</v>
          </cell>
        </row>
        <row r="1299">
          <cell r="I1299">
            <v>80000</v>
          </cell>
        </row>
        <row r="1301">
          <cell r="I1301">
            <v>13968</v>
          </cell>
        </row>
        <row r="1304">
          <cell r="I1304">
            <v>1960</v>
          </cell>
        </row>
        <row r="1307">
          <cell r="I1307">
            <v>3000</v>
          </cell>
        </row>
        <row r="1308">
          <cell r="I1308">
            <v>9000</v>
          </cell>
        </row>
        <row r="1310">
          <cell r="I1310">
            <v>500</v>
          </cell>
        </row>
        <row r="1313">
          <cell r="I1313">
            <v>10000</v>
          </cell>
        </row>
        <row r="1318">
          <cell r="I1318">
            <v>5529</v>
          </cell>
        </row>
        <row r="1321">
          <cell r="I1321">
            <v>120</v>
          </cell>
        </row>
        <row r="1325">
          <cell r="I1325">
            <v>360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A87F2-5BB6-4DD4-8DCC-C9DA0F531EB3}">
  <dimension ref="A1:L834"/>
  <sheetViews>
    <sheetView topLeftCell="A379" zoomScale="120" zoomScaleNormal="120" workbookViewId="0">
      <selection activeCell="L474" sqref="L473:L474"/>
    </sheetView>
  </sheetViews>
  <sheetFormatPr defaultRowHeight="15"/>
  <cols>
    <col min="1" max="1" width="4.7109375" style="382" customWidth="1"/>
    <col min="2" max="2" width="7.140625" style="382" customWidth="1"/>
    <col min="3" max="3" width="5.7109375" style="382" customWidth="1"/>
    <col min="4" max="4" width="52.28515625" style="382" customWidth="1"/>
    <col min="5" max="6" width="14.85546875" style="519" customWidth="1"/>
    <col min="7" max="7" width="15" style="519" customWidth="1"/>
    <col min="8" max="8" width="14.5703125" style="519" customWidth="1"/>
    <col min="9" max="9" width="14.28515625" style="519" customWidth="1"/>
    <col min="10" max="10" width="13.5703125" style="382" bestFit="1" customWidth="1"/>
    <col min="11" max="11" width="14.42578125" style="382" bestFit="1" customWidth="1"/>
    <col min="12" max="12" width="18" style="382" customWidth="1"/>
    <col min="13" max="16384" width="9.140625" style="382"/>
  </cols>
  <sheetData>
    <row r="1" spans="1:9">
      <c r="A1" s="1"/>
      <c r="B1" s="1"/>
      <c r="C1" s="396"/>
      <c r="D1" s="397"/>
      <c r="E1" s="398"/>
      <c r="F1" s="399"/>
      <c r="G1" s="399" t="s">
        <v>0</v>
      </c>
      <c r="H1" s="400"/>
      <c r="I1" s="400"/>
    </row>
    <row r="2" spans="1:9">
      <c r="A2" s="1"/>
      <c r="B2" s="1"/>
      <c r="C2" s="396"/>
      <c r="D2" s="397"/>
      <c r="E2" s="398"/>
      <c r="F2" s="399"/>
      <c r="G2" s="399" t="s">
        <v>1</v>
      </c>
      <c r="H2" s="400"/>
      <c r="I2" s="400"/>
    </row>
    <row r="3" spans="1:9">
      <c r="A3" s="1"/>
      <c r="B3" s="1"/>
      <c r="C3" s="396"/>
      <c r="D3" s="397"/>
      <c r="E3" s="398"/>
      <c r="F3" s="399"/>
      <c r="G3" s="399" t="s">
        <v>736</v>
      </c>
      <c r="H3" s="400"/>
      <c r="I3" s="400"/>
    </row>
    <row r="4" spans="1:9">
      <c r="A4" s="1"/>
      <c r="B4" s="1"/>
      <c r="C4" s="396"/>
      <c r="D4" s="397"/>
      <c r="E4" s="398"/>
      <c r="F4" s="399"/>
      <c r="G4" s="399"/>
      <c r="H4" s="400"/>
      <c r="I4" s="400"/>
    </row>
    <row r="5" spans="1:9">
      <c r="A5" s="597" t="s">
        <v>782</v>
      </c>
      <c r="B5" s="597"/>
      <c r="C5" s="597"/>
      <c r="D5" s="597"/>
      <c r="E5" s="597"/>
      <c r="F5" s="597"/>
      <c r="G5" s="597"/>
      <c r="H5" s="597"/>
      <c r="I5" s="597"/>
    </row>
    <row r="6" spans="1:9">
      <c r="A6" s="597"/>
      <c r="B6" s="597"/>
      <c r="C6" s="597"/>
      <c r="D6" s="597"/>
      <c r="E6" s="597"/>
      <c r="F6" s="597"/>
      <c r="G6" s="597"/>
      <c r="H6" s="597"/>
      <c r="I6" s="597"/>
    </row>
    <row r="7" spans="1:9">
      <c r="A7" s="597"/>
      <c r="B7" s="597"/>
      <c r="C7" s="597"/>
      <c r="D7" s="597"/>
      <c r="E7" s="597"/>
      <c r="F7" s="597"/>
      <c r="G7" s="597"/>
      <c r="H7" s="597"/>
      <c r="I7" s="597"/>
    </row>
    <row r="8" spans="1:9">
      <c r="A8" s="598"/>
      <c r="B8" s="598"/>
      <c r="C8" s="598"/>
      <c r="D8" s="598"/>
      <c r="E8" s="598"/>
      <c r="F8" s="598"/>
      <c r="G8" s="598"/>
      <c r="H8" s="598"/>
      <c r="I8" s="598"/>
    </row>
    <row r="9" spans="1:9" ht="58.15" customHeight="1">
      <c r="A9" s="599" t="s">
        <v>2</v>
      </c>
      <c r="B9" s="599" t="s">
        <v>3</v>
      </c>
      <c r="C9" s="602" t="s">
        <v>4</v>
      </c>
      <c r="D9" s="605" t="s">
        <v>5</v>
      </c>
      <c r="E9" s="608" t="s">
        <v>779</v>
      </c>
      <c r="F9" s="609"/>
      <c r="G9" s="610"/>
      <c r="H9" s="401" t="s">
        <v>6</v>
      </c>
      <c r="I9" s="401" t="s">
        <v>7</v>
      </c>
    </row>
    <row r="10" spans="1:9" ht="17.45" customHeight="1">
      <c r="A10" s="600"/>
      <c r="B10" s="600"/>
      <c r="C10" s="603"/>
      <c r="D10" s="606"/>
      <c r="E10" s="611" t="s">
        <v>8</v>
      </c>
      <c r="F10" s="611" t="s">
        <v>9</v>
      </c>
      <c r="G10" s="611" t="s">
        <v>712</v>
      </c>
      <c r="H10" s="611" t="s">
        <v>781</v>
      </c>
      <c r="I10" s="611" t="s">
        <v>781</v>
      </c>
    </row>
    <row r="11" spans="1:9" ht="19.149999999999999" customHeight="1">
      <c r="A11" s="600"/>
      <c r="B11" s="600"/>
      <c r="C11" s="603"/>
      <c r="D11" s="606"/>
      <c r="E11" s="612"/>
      <c r="F11" s="612"/>
      <c r="G11" s="612"/>
      <c r="H11" s="612"/>
      <c r="I11" s="612"/>
    </row>
    <row r="12" spans="1:9">
      <c r="A12" s="601"/>
      <c r="B12" s="601"/>
      <c r="C12" s="604"/>
      <c r="D12" s="607"/>
      <c r="E12" s="402" t="s">
        <v>11</v>
      </c>
      <c r="F12" s="402"/>
      <c r="G12" s="402"/>
      <c r="H12" s="402"/>
      <c r="I12" s="402"/>
    </row>
    <row r="13" spans="1:9">
      <c r="A13" s="2">
        <v>1</v>
      </c>
      <c r="B13" s="2">
        <v>2</v>
      </c>
      <c r="C13" s="403">
        <v>3</v>
      </c>
      <c r="D13" s="2">
        <v>4</v>
      </c>
      <c r="E13" s="404">
        <v>5</v>
      </c>
      <c r="F13" s="404">
        <v>6</v>
      </c>
      <c r="G13" s="404">
        <v>7</v>
      </c>
      <c r="H13" s="404">
        <v>8</v>
      </c>
      <c r="I13" s="404">
        <v>9</v>
      </c>
    </row>
    <row r="14" spans="1:9">
      <c r="A14" s="368">
        <v>600</v>
      </c>
      <c r="B14" s="405"/>
      <c r="C14" s="406"/>
      <c r="D14" s="407" t="s">
        <v>20</v>
      </c>
      <c r="E14" s="408">
        <f>E15+E24</f>
        <v>1554000.01</v>
      </c>
      <c r="F14" s="408">
        <f>F15+F24</f>
        <v>6906441.4399999995</v>
      </c>
      <c r="G14" s="408">
        <f>G15+G24</f>
        <v>1596385.41</v>
      </c>
      <c r="H14" s="408">
        <f>H15+H24</f>
        <v>3688634.5</v>
      </c>
      <c r="I14" s="408">
        <f>I15+I24</f>
        <v>3758634.5</v>
      </c>
    </row>
    <row r="15" spans="1:9">
      <c r="A15" s="3"/>
      <c r="B15" s="409">
        <v>60014</v>
      </c>
      <c r="C15" s="4"/>
      <c r="D15" s="410" t="s">
        <v>21</v>
      </c>
      <c r="E15" s="411">
        <f>E16+E17+E18+E21+E23</f>
        <v>1550000.01</v>
      </c>
      <c r="F15" s="411">
        <f t="shared" ref="F15:I15" si="0">F16+F17+F18+F21+F23</f>
        <v>6902441.4399999995</v>
      </c>
      <c r="G15" s="411">
        <f t="shared" si="0"/>
        <v>1592386.41</v>
      </c>
      <c r="H15" s="411">
        <f t="shared" si="0"/>
        <v>3684634.5</v>
      </c>
      <c r="I15" s="411">
        <f t="shared" si="0"/>
        <v>3754634.5</v>
      </c>
    </row>
    <row r="16" spans="1:9">
      <c r="A16" s="3"/>
      <c r="B16" s="409" t="s">
        <v>19</v>
      </c>
      <c r="C16" s="4" t="s">
        <v>94</v>
      </c>
      <c r="D16" s="410" t="s">
        <v>713</v>
      </c>
      <c r="E16" s="411">
        <v>1550000.01</v>
      </c>
      <c r="F16" s="411">
        <f>'Wykonanie 8 2025'!H2</f>
        <v>1550000.01</v>
      </c>
      <c r="G16" s="411">
        <f>'Wykonanie 8 2025'!J2</f>
        <v>1574129.25</v>
      </c>
      <c r="H16" s="411">
        <v>1550000</v>
      </c>
      <c r="I16" s="411">
        <v>1600000</v>
      </c>
    </row>
    <row r="17" spans="1:9" ht="51">
      <c r="A17" s="3"/>
      <c r="B17" s="409" t="s">
        <v>19</v>
      </c>
      <c r="C17" s="562" t="s">
        <v>36</v>
      </c>
      <c r="D17" s="563" t="s">
        <v>802</v>
      </c>
      <c r="E17" s="411">
        <v>0</v>
      </c>
      <c r="F17" s="411">
        <v>13278</v>
      </c>
      <c r="G17" s="411">
        <v>18257.16</v>
      </c>
      <c r="H17" s="411">
        <v>0</v>
      </c>
      <c r="I17" s="411">
        <v>20000</v>
      </c>
    </row>
    <row r="18" spans="1:9" ht="25.5">
      <c r="A18" s="3"/>
      <c r="B18" s="4" t="s">
        <v>19</v>
      </c>
      <c r="C18" s="4" t="s">
        <v>649</v>
      </c>
      <c r="D18" s="410" t="s">
        <v>651</v>
      </c>
      <c r="E18" s="411">
        <v>0</v>
      </c>
      <c r="F18" s="411">
        <f>'Wykonanie 8 2025'!H9</f>
        <v>3528446.29</v>
      </c>
      <c r="G18" s="411">
        <f>SUM(G19:G19)</f>
        <v>0</v>
      </c>
      <c r="H18" s="411">
        <f>SUM(H19:H20)</f>
        <v>2134634.5</v>
      </c>
      <c r="I18" s="411">
        <f>SUM(I19:I20)</f>
        <v>2134634.5</v>
      </c>
    </row>
    <row r="19" spans="1:9" ht="25.5">
      <c r="A19" s="3"/>
      <c r="B19" s="4"/>
      <c r="C19" s="4"/>
      <c r="D19" s="410" t="s">
        <v>739</v>
      </c>
      <c r="E19" s="412">
        <v>0</v>
      </c>
      <c r="F19" s="411">
        <f>F18</f>
        <v>3528446.29</v>
      </c>
      <c r="G19" s="413">
        <v>0</v>
      </c>
      <c r="H19" s="412">
        <v>0</v>
      </c>
      <c r="I19" s="412">
        <v>0</v>
      </c>
    </row>
    <row r="20" spans="1:9" ht="27" customHeight="1">
      <c r="A20" s="3"/>
      <c r="B20" s="4"/>
      <c r="C20" s="4"/>
      <c r="D20" s="410" t="s">
        <v>803</v>
      </c>
      <c r="E20" s="412">
        <v>0</v>
      </c>
      <c r="F20" s="411">
        <v>0</v>
      </c>
      <c r="G20" s="413">
        <v>0</v>
      </c>
      <c r="H20" s="412">
        <v>2134634.5</v>
      </c>
      <c r="I20" s="412">
        <v>2134634.5</v>
      </c>
    </row>
    <row r="21" spans="1:9" ht="38.25">
      <c r="A21" s="3"/>
      <c r="B21" s="4" t="s">
        <v>19</v>
      </c>
      <c r="C21" s="4" t="s">
        <v>133</v>
      </c>
      <c r="D21" s="410" t="s">
        <v>714</v>
      </c>
      <c r="E21" s="411">
        <v>0</v>
      </c>
      <c r="F21" s="411">
        <f t="shared" ref="F21:I21" si="1">F22</f>
        <v>1764223.14</v>
      </c>
      <c r="G21" s="411">
        <f t="shared" si="1"/>
        <v>0</v>
      </c>
      <c r="H21" s="411">
        <f t="shared" si="1"/>
        <v>0</v>
      </c>
      <c r="I21" s="411">
        <f t="shared" si="1"/>
        <v>0</v>
      </c>
    </row>
    <row r="22" spans="1:9" ht="25.5">
      <c r="A22" s="3"/>
      <c r="B22" s="4"/>
      <c r="C22" s="4"/>
      <c r="D22" s="410" t="s">
        <v>739</v>
      </c>
      <c r="E22" s="412">
        <v>0</v>
      </c>
      <c r="F22" s="411">
        <f>'Wykonanie 8 2025'!H10</f>
        <v>1764223.14</v>
      </c>
      <c r="G22" s="413"/>
      <c r="H22" s="412"/>
      <c r="I22" s="412"/>
    </row>
    <row r="23" spans="1:9">
      <c r="A23" s="3"/>
      <c r="B23" s="4" t="s">
        <v>19</v>
      </c>
      <c r="C23" s="4" t="s">
        <v>133</v>
      </c>
      <c r="D23" s="410" t="s">
        <v>383</v>
      </c>
      <c r="E23" s="411">
        <v>0</v>
      </c>
      <c r="F23" s="411">
        <f>'Wykonanie 8 2025'!H11</f>
        <v>46494</v>
      </c>
      <c r="G23" s="411"/>
      <c r="H23" s="411"/>
      <c r="I23" s="411"/>
    </row>
    <row r="24" spans="1:9">
      <c r="A24" s="3"/>
      <c r="B24" s="409">
        <v>60020</v>
      </c>
      <c r="C24" s="414"/>
      <c r="D24" s="415" t="s">
        <v>21</v>
      </c>
      <c r="E24" s="416">
        <f>E25</f>
        <v>4000</v>
      </c>
      <c r="F24" s="416">
        <f t="shared" ref="F24:I24" si="2">F25</f>
        <v>4000</v>
      </c>
      <c r="G24" s="416">
        <f t="shared" si="2"/>
        <v>3999</v>
      </c>
      <c r="H24" s="416">
        <f t="shared" si="2"/>
        <v>4000</v>
      </c>
      <c r="I24" s="416">
        <f t="shared" si="2"/>
        <v>4000</v>
      </c>
    </row>
    <row r="25" spans="1:9" ht="25.5">
      <c r="A25" s="5"/>
      <c r="B25" s="4" t="s">
        <v>19</v>
      </c>
      <c r="C25" s="417" t="s">
        <v>27</v>
      </c>
      <c r="D25" s="410" t="s">
        <v>28</v>
      </c>
      <c r="E25" s="411">
        <v>4000</v>
      </c>
      <c r="F25" s="411">
        <f>'Wykonanie 8 2025'!H12</f>
        <v>4000</v>
      </c>
      <c r="G25" s="412">
        <f>3999</f>
        <v>3999</v>
      </c>
      <c r="H25" s="412">
        <v>4000</v>
      </c>
      <c r="I25" s="411">
        <v>4000</v>
      </c>
    </row>
    <row r="26" spans="1:9">
      <c r="A26" s="369">
        <v>700</v>
      </c>
      <c r="B26" s="405"/>
      <c r="C26" s="406"/>
      <c r="D26" s="407" t="s">
        <v>29</v>
      </c>
      <c r="E26" s="408">
        <f>E27</f>
        <v>1201128</v>
      </c>
      <c r="F26" s="408">
        <f t="shared" ref="F26:I26" si="3">F27</f>
        <v>1266441</v>
      </c>
      <c r="G26" s="408">
        <f t="shared" si="3"/>
        <v>885641</v>
      </c>
      <c r="H26" s="408">
        <f t="shared" si="3"/>
        <v>995753</v>
      </c>
      <c r="I26" s="408">
        <f t="shared" si="3"/>
        <v>755753</v>
      </c>
    </row>
    <row r="27" spans="1:9">
      <c r="A27" s="3"/>
      <c r="B27" s="409">
        <v>70005</v>
      </c>
      <c r="C27" s="414"/>
      <c r="D27" s="415" t="s">
        <v>30</v>
      </c>
      <c r="E27" s="416">
        <f>E28+E29+E30+E31+E32</f>
        <v>1201128</v>
      </c>
      <c r="F27" s="416">
        <f t="shared" ref="F27:I27" si="4">F28+F29+F30+F31+F32</f>
        <v>1266441</v>
      </c>
      <c r="G27" s="416">
        <f t="shared" si="4"/>
        <v>885641</v>
      </c>
      <c r="H27" s="416">
        <f t="shared" si="4"/>
        <v>995753</v>
      </c>
      <c r="I27" s="416">
        <f t="shared" si="4"/>
        <v>755753</v>
      </c>
    </row>
    <row r="28" spans="1:9">
      <c r="A28" s="3"/>
      <c r="B28" s="4" t="s">
        <v>19</v>
      </c>
      <c r="C28" s="4" t="s">
        <v>31</v>
      </c>
      <c r="D28" s="410" t="s">
        <v>32</v>
      </c>
      <c r="E28" s="413">
        <v>1450</v>
      </c>
      <c r="F28" s="413">
        <f>'Wykonanie 8 2025'!H13</f>
        <v>1450</v>
      </c>
      <c r="G28" s="413">
        <f>F28</f>
        <v>1450</v>
      </c>
      <c r="H28" s="413">
        <v>1450</v>
      </c>
      <c r="I28" s="413">
        <v>1450</v>
      </c>
    </row>
    <row r="29" spans="1:9" ht="38.25">
      <c r="A29" s="3"/>
      <c r="B29" s="4" t="s">
        <v>19</v>
      </c>
      <c r="C29" s="4" t="s">
        <v>36</v>
      </c>
      <c r="D29" s="410" t="s">
        <v>37</v>
      </c>
      <c r="E29" s="413">
        <v>250000</v>
      </c>
      <c r="F29" s="413">
        <f>'Wykonanie 8 2025'!H16</f>
        <v>250000</v>
      </c>
      <c r="G29" s="413">
        <v>118000</v>
      </c>
      <c r="H29" s="413">
        <v>85000</v>
      </c>
      <c r="I29" s="413">
        <v>85000</v>
      </c>
    </row>
    <row r="30" spans="1:9" ht="25.5">
      <c r="A30" s="3"/>
      <c r="B30" s="4" t="s">
        <v>19</v>
      </c>
      <c r="C30" s="4" t="s">
        <v>38</v>
      </c>
      <c r="D30" s="410" t="s">
        <v>39</v>
      </c>
      <c r="E30" s="413">
        <v>370000</v>
      </c>
      <c r="F30" s="413">
        <f>'Wykonanie 8 2025'!H17</f>
        <v>370000</v>
      </c>
      <c r="G30" s="413">
        <v>121200</v>
      </c>
      <c r="H30" s="413">
        <v>360000</v>
      </c>
      <c r="I30" s="413">
        <v>120000</v>
      </c>
    </row>
    <row r="31" spans="1:9" ht="38.25">
      <c r="A31" s="3"/>
      <c r="B31" s="4" t="s">
        <v>12</v>
      </c>
      <c r="C31" s="4" t="s">
        <v>13</v>
      </c>
      <c r="D31" s="410" t="s">
        <v>14</v>
      </c>
      <c r="E31" s="413">
        <v>219678</v>
      </c>
      <c r="F31" s="413">
        <f>'Wykonanie 8 2025'!H22</f>
        <v>284991</v>
      </c>
      <c r="G31" s="413">
        <f t="shared" ref="G31:G32" si="5">F31</f>
        <v>284991</v>
      </c>
      <c r="H31" s="413">
        <v>229303</v>
      </c>
      <c r="I31" s="413">
        <f>H31</f>
        <v>229303</v>
      </c>
    </row>
    <row r="32" spans="1:9" ht="38.25">
      <c r="A32" s="3"/>
      <c r="B32" s="4" t="s">
        <v>19</v>
      </c>
      <c r="C32" s="4">
        <v>2360</v>
      </c>
      <c r="D32" s="410" t="s">
        <v>44</v>
      </c>
      <c r="E32" s="413">
        <v>360000</v>
      </c>
      <c r="F32" s="413">
        <f>'Wykonanie 8 2025'!H23</f>
        <v>360000</v>
      </c>
      <c r="G32" s="413">
        <f t="shared" si="5"/>
        <v>360000</v>
      </c>
      <c r="H32" s="413">
        <v>320000</v>
      </c>
      <c r="I32" s="413">
        <v>320000</v>
      </c>
    </row>
    <row r="33" spans="1:10">
      <c r="A33" s="368">
        <v>710</v>
      </c>
      <c r="B33" s="405"/>
      <c r="C33" s="406"/>
      <c r="D33" s="407" t="s">
        <v>49</v>
      </c>
      <c r="E33" s="408">
        <f>E34+E38+E41+E36</f>
        <v>1376500</v>
      </c>
      <c r="F33" s="408">
        <f t="shared" ref="F33:I33" si="6">F34+F38+F41+F36</f>
        <v>1574810</v>
      </c>
      <c r="G33" s="408">
        <f t="shared" si="6"/>
        <v>0</v>
      </c>
      <c r="H33" s="408">
        <f t="shared" si="6"/>
        <v>1534845</v>
      </c>
      <c r="I33" s="408">
        <f t="shared" si="6"/>
        <v>1534845</v>
      </c>
      <c r="J33" s="418"/>
    </row>
    <row r="34" spans="1:10">
      <c r="A34" s="3"/>
      <c r="B34" s="409">
        <v>71012</v>
      </c>
      <c r="C34" s="414"/>
      <c r="D34" s="415" t="s">
        <v>50</v>
      </c>
      <c r="E34" s="416">
        <f>E35</f>
        <v>557500</v>
      </c>
      <c r="F34" s="416">
        <f t="shared" ref="F34:I34" si="7">F35</f>
        <v>557500</v>
      </c>
      <c r="G34" s="416">
        <f t="shared" si="7"/>
        <v>0</v>
      </c>
      <c r="H34" s="416">
        <f t="shared" si="7"/>
        <v>163000</v>
      </c>
      <c r="I34" s="416">
        <f t="shared" si="7"/>
        <v>163000</v>
      </c>
    </row>
    <row r="35" spans="1:10" ht="38.25">
      <c r="A35" s="3"/>
      <c r="B35" s="4" t="s">
        <v>12</v>
      </c>
      <c r="C35" s="4" t="s">
        <v>13</v>
      </c>
      <c r="D35" s="410" t="s">
        <v>14</v>
      </c>
      <c r="E35" s="411">
        <v>557500</v>
      </c>
      <c r="F35" s="411">
        <f>'Wykonanie 8 2025'!H29</f>
        <v>557500</v>
      </c>
      <c r="G35" s="411">
        <v>0</v>
      </c>
      <c r="H35" s="411">
        <v>163000</v>
      </c>
      <c r="I35" s="411">
        <f>H35</f>
        <v>163000</v>
      </c>
    </row>
    <row r="36" spans="1:10">
      <c r="A36" s="3"/>
      <c r="B36" s="409" t="s">
        <v>785</v>
      </c>
      <c r="C36" s="414"/>
      <c r="D36" s="415"/>
      <c r="E36" s="416">
        <f>E37</f>
        <v>0</v>
      </c>
      <c r="F36" s="416">
        <f t="shared" ref="F36:I36" si="8">F37</f>
        <v>0</v>
      </c>
      <c r="G36" s="416">
        <f t="shared" si="8"/>
        <v>0</v>
      </c>
      <c r="H36" s="416">
        <f t="shared" si="8"/>
        <v>60000</v>
      </c>
      <c r="I36" s="416">
        <f t="shared" si="8"/>
        <v>60000</v>
      </c>
    </row>
    <row r="37" spans="1:10" ht="38.25">
      <c r="A37" s="3"/>
      <c r="B37" s="4" t="s">
        <v>12</v>
      </c>
      <c r="C37" s="4" t="s">
        <v>13</v>
      </c>
      <c r="D37" s="410" t="s">
        <v>14</v>
      </c>
      <c r="E37" s="411">
        <v>0</v>
      </c>
      <c r="F37" s="411">
        <v>0</v>
      </c>
      <c r="G37" s="411">
        <v>0</v>
      </c>
      <c r="H37" s="411">
        <v>60000</v>
      </c>
      <c r="I37" s="411">
        <f>H37</f>
        <v>60000</v>
      </c>
    </row>
    <row r="38" spans="1:10">
      <c r="A38" s="6"/>
      <c r="B38" s="409">
        <v>71015</v>
      </c>
      <c r="C38" s="414"/>
      <c r="D38" s="415" t="s">
        <v>52</v>
      </c>
      <c r="E38" s="416">
        <f>E39+E40</f>
        <v>819000</v>
      </c>
      <c r="F38" s="416">
        <f t="shared" ref="F38:I38" si="9">F39+F40</f>
        <v>835000</v>
      </c>
      <c r="G38" s="416">
        <f t="shared" si="9"/>
        <v>0</v>
      </c>
      <c r="H38" s="416">
        <f t="shared" si="9"/>
        <v>899600</v>
      </c>
      <c r="I38" s="416">
        <f t="shared" si="9"/>
        <v>899600</v>
      </c>
    </row>
    <row r="39" spans="1:10" ht="38.25">
      <c r="A39" s="3"/>
      <c r="B39" s="4" t="s">
        <v>12</v>
      </c>
      <c r="C39" s="4" t="s">
        <v>13</v>
      </c>
      <c r="D39" s="410" t="s">
        <v>14</v>
      </c>
      <c r="E39" s="411">
        <v>819000</v>
      </c>
      <c r="F39" s="411">
        <f>'Wykonanie 8 2025'!H30</f>
        <v>835000</v>
      </c>
      <c r="G39" s="411">
        <v>0</v>
      </c>
      <c r="H39" s="411">
        <v>849600</v>
      </c>
      <c r="I39" s="411">
        <f>H39</f>
        <v>849600</v>
      </c>
    </row>
    <row r="40" spans="1:10">
      <c r="A40" s="3"/>
      <c r="B40" s="4" t="s">
        <v>12</v>
      </c>
      <c r="C40" s="4" t="s">
        <v>51</v>
      </c>
      <c r="D40" s="410"/>
      <c r="E40" s="411">
        <v>0</v>
      </c>
      <c r="F40" s="411">
        <v>0</v>
      </c>
      <c r="G40" s="411">
        <v>0</v>
      </c>
      <c r="H40" s="411">
        <v>50000</v>
      </c>
      <c r="I40" s="411">
        <f>H40</f>
        <v>50000</v>
      </c>
    </row>
    <row r="41" spans="1:10">
      <c r="A41" s="3"/>
      <c r="B41" s="409">
        <v>71095</v>
      </c>
      <c r="C41" s="414"/>
      <c r="D41" s="415" t="s">
        <v>45</v>
      </c>
      <c r="E41" s="416">
        <f>E43+E44</f>
        <v>0</v>
      </c>
      <c r="F41" s="416">
        <f t="shared" ref="F41:I41" si="10">F43+F44</f>
        <v>182310</v>
      </c>
      <c r="G41" s="416">
        <f t="shared" si="10"/>
        <v>0</v>
      </c>
      <c r="H41" s="416">
        <f t="shared" si="10"/>
        <v>412245</v>
      </c>
      <c r="I41" s="416">
        <f t="shared" si="10"/>
        <v>412245</v>
      </c>
    </row>
    <row r="42" spans="1:10" ht="38.25">
      <c r="A42" s="3"/>
      <c r="B42" s="409"/>
      <c r="C42" s="537"/>
      <c r="D42" s="536" t="s">
        <v>53</v>
      </c>
      <c r="E42" s="538">
        <f>E43+E44</f>
        <v>0</v>
      </c>
      <c r="F42" s="538">
        <f t="shared" ref="F42:I42" si="11">F43+F44</f>
        <v>182310</v>
      </c>
      <c r="G42" s="538">
        <f t="shared" si="11"/>
        <v>0</v>
      </c>
      <c r="H42" s="538">
        <f t="shared" si="11"/>
        <v>412245</v>
      </c>
      <c r="I42" s="538">
        <f t="shared" si="11"/>
        <v>412245</v>
      </c>
    </row>
    <row r="43" spans="1:10" ht="51" customHeight="1">
      <c r="A43" s="3"/>
      <c r="B43" s="4" t="s">
        <v>19</v>
      </c>
      <c r="C43" s="420">
        <v>2057</v>
      </c>
      <c r="D43" s="410" t="s">
        <v>54</v>
      </c>
      <c r="E43" s="411">
        <v>0</v>
      </c>
      <c r="F43" s="411">
        <f>'Wykonanie 8 2025'!H33</f>
        <v>47625</v>
      </c>
      <c r="G43" s="411">
        <v>0</v>
      </c>
      <c r="H43" s="411">
        <v>142875</v>
      </c>
      <c r="I43" s="411">
        <v>142875</v>
      </c>
    </row>
    <row r="44" spans="1:10" ht="63.75">
      <c r="A44" s="3"/>
      <c r="B44" s="4" t="s">
        <v>19</v>
      </c>
      <c r="C44" s="420">
        <v>6257</v>
      </c>
      <c r="D44" s="410" t="s">
        <v>54</v>
      </c>
      <c r="E44" s="411">
        <v>0</v>
      </c>
      <c r="F44" s="411">
        <f>'Wykonanie 8 2025'!H34</f>
        <v>134685</v>
      </c>
      <c r="G44" s="411">
        <v>0</v>
      </c>
      <c r="H44" s="411">
        <v>269370</v>
      </c>
      <c r="I44" s="411">
        <v>269370</v>
      </c>
    </row>
    <row r="45" spans="1:10">
      <c r="A45" s="368">
        <v>750</v>
      </c>
      <c r="B45" s="405"/>
      <c r="C45" s="406"/>
      <c r="D45" s="407" t="s">
        <v>55</v>
      </c>
      <c r="E45" s="408">
        <f>E46+E48+E55</f>
        <v>114375</v>
      </c>
      <c r="F45" s="408">
        <f t="shared" ref="F45:I45" si="12">F46+F48+F55</f>
        <v>348975</v>
      </c>
      <c r="G45" s="408">
        <f t="shared" si="12"/>
        <v>244975</v>
      </c>
      <c r="H45" s="408">
        <f t="shared" si="12"/>
        <v>433948.99</v>
      </c>
      <c r="I45" s="408">
        <f t="shared" si="12"/>
        <v>432934.99</v>
      </c>
      <c r="J45" s="418"/>
    </row>
    <row r="46" spans="1:10">
      <c r="A46" s="3"/>
      <c r="B46" s="409">
        <v>75011</v>
      </c>
      <c r="C46" s="414"/>
      <c r="D46" s="415" t="s">
        <v>56</v>
      </c>
      <c r="E46" s="416">
        <f>E47</f>
        <v>102900</v>
      </c>
      <c r="F46" s="416">
        <f t="shared" ref="F46:I46" si="13">F47</f>
        <v>102900</v>
      </c>
      <c r="G46" s="416">
        <f t="shared" si="13"/>
        <v>0</v>
      </c>
      <c r="H46" s="416">
        <f t="shared" si="13"/>
        <v>105660</v>
      </c>
      <c r="I46" s="416">
        <f t="shared" si="13"/>
        <v>105660</v>
      </c>
    </row>
    <row r="47" spans="1:10" ht="38.25">
      <c r="A47" s="3"/>
      <c r="B47" s="4" t="s">
        <v>12</v>
      </c>
      <c r="C47" s="4" t="s">
        <v>13</v>
      </c>
      <c r="D47" s="410" t="s">
        <v>14</v>
      </c>
      <c r="E47" s="411">
        <v>102900</v>
      </c>
      <c r="F47" s="411">
        <f>'Wykonanie 8 2025'!H35</f>
        <v>102900</v>
      </c>
      <c r="G47" s="411">
        <v>0</v>
      </c>
      <c r="H47" s="411">
        <v>105660</v>
      </c>
      <c r="I47" s="411">
        <f>H47</f>
        <v>105660</v>
      </c>
    </row>
    <row r="48" spans="1:10">
      <c r="A48" s="3"/>
      <c r="B48" s="409">
        <v>75020</v>
      </c>
      <c r="C48" s="414"/>
      <c r="D48" s="415" t="s">
        <v>57</v>
      </c>
      <c r="E48" s="416">
        <f>E49+E50+E52+E53</f>
        <v>11475</v>
      </c>
      <c r="F48" s="416">
        <f t="shared" ref="F48:G48" si="14">F49+F50+F52+F53</f>
        <v>246075</v>
      </c>
      <c r="G48" s="416">
        <f t="shared" si="14"/>
        <v>244975</v>
      </c>
      <c r="H48" s="416">
        <f>H49+H50+H52+H53+H54</f>
        <v>328288.99</v>
      </c>
      <c r="I48" s="416">
        <f>I49+I50+I52+I53+I54</f>
        <v>327274.99</v>
      </c>
    </row>
    <row r="49" spans="1:11" ht="38.25">
      <c r="A49" s="3"/>
      <c r="B49" s="4" t="s">
        <v>19</v>
      </c>
      <c r="C49" s="4" t="s">
        <v>36</v>
      </c>
      <c r="D49" s="410" t="s">
        <v>37</v>
      </c>
      <c r="E49" s="411">
        <v>1475</v>
      </c>
      <c r="F49" s="411">
        <f>'Wykonanie 8 2025'!H40</f>
        <v>1475</v>
      </c>
      <c r="G49" s="411">
        <v>1475</v>
      </c>
      <c r="H49" s="411">
        <v>1475</v>
      </c>
      <c r="I49" s="411">
        <v>1475</v>
      </c>
    </row>
    <row r="50" spans="1:11">
      <c r="A50" s="3"/>
      <c r="B50" s="4" t="s">
        <v>19</v>
      </c>
      <c r="C50" s="4" t="s">
        <v>25</v>
      </c>
      <c r="D50" s="410" t="s">
        <v>26</v>
      </c>
      <c r="E50" s="411">
        <v>10000</v>
      </c>
      <c r="F50" s="411">
        <f>'Wykonanie 8 2025'!H51</f>
        <v>10000</v>
      </c>
      <c r="G50" s="411">
        <v>8900</v>
      </c>
      <c r="H50" s="411">
        <v>8000</v>
      </c>
      <c r="I50" s="411">
        <v>10000</v>
      </c>
    </row>
    <row r="51" spans="1:11">
      <c r="A51" s="3"/>
      <c r="B51" s="540"/>
      <c r="C51" s="541"/>
      <c r="D51" s="542" t="s">
        <v>795</v>
      </c>
      <c r="E51" s="543">
        <f>E52+E53</f>
        <v>0</v>
      </c>
      <c r="F51" s="543">
        <f>F52+F53</f>
        <v>234600</v>
      </c>
      <c r="G51" s="543">
        <f t="shared" ref="G51:I51" si="15">G52+G53</f>
        <v>234600</v>
      </c>
      <c r="H51" s="543">
        <f t="shared" si="15"/>
        <v>315799.99</v>
      </c>
      <c r="I51" s="543">
        <f t="shared" si="15"/>
        <v>315799.99</v>
      </c>
    </row>
    <row r="52" spans="1:11">
      <c r="A52" s="3"/>
      <c r="B52" s="4"/>
      <c r="C52" s="385">
        <v>6257</v>
      </c>
      <c r="D52" s="410"/>
      <c r="E52" s="411">
        <v>0</v>
      </c>
      <c r="F52" s="411">
        <f>'Wykonanie 8 2025'!H53</f>
        <v>197064</v>
      </c>
      <c r="G52" s="411">
        <f>F52</f>
        <v>197064</v>
      </c>
      <c r="H52" s="411">
        <v>265271.99</v>
      </c>
      <c r="I52" s="411">
        <v>265271.99</v>
      </c>
      <c r="K52" s="539"/>
    </row>
    <row r="53" spans="1:11">
      <c r="A53" s="3"/>
      <c r="B53" s="4"/>
      <c r="C53" s="385">
        <v>6259</v>
      </c>
      <c r="D53" s="410"/>
      <c r="E53" s="411">
        <v>0</v>
      </c>
      <c r="F53" s="411">
        <f>'Wykonanie 8 2025'!H54</f>
        <v>37536</v>
      </c>
      <c r="G53" s="411">
        <f>F53</f>
        <v>37536</v>
      </c>
      <c r="H53" s="411">
        <v>50528</v>
      </c>
      <c r="I53" s="411">
        <v>50528</v>
      </c>
    </row>
    <row r="54" spans="1:11">
      <c r="A54" s="3"/>
      <c r="B54" s="4"/>
      <c r="C54" s="4" t="s">
        <v>47</v>
      </c>
      <c r="D54" s="410"/>
      <c r="E54" s="411">
        <v>0</v>
      </c>
      <c r="F54" s="411">
        <v>0</v>
      </c>
      <c r="G54" s="411">
        <v>0</v>
      </c>
      <c r="H54" s="411">
        <v>3014</v>
      </c>
      <c r="I54" s="411">
        <v>0</v>
      </c>
    </row>
    <row r="55" spans="1:11">
      <c r="A55" s="3"/>
      <c r="B55" s="409">
        <v>75095</v>
      </c>
      <c r="C55" s="414"/>
      <c r="D55" s="415" t="s">
        <v>45</v>
      </c>
      <c r="E55" s="416">
        <f t="shared" ref="E55:E77" si="16">I55</f>
        <v>0</v>
      </c>
      <c r="F55" s="416">
        <f t="shared" ref="F55:I55" si="17">F56</f>
        <v>0</v>
      </c>
      <c r="G55" s="416">
        <f t="shared" si="17"/>
        <v>0</v>
      </c>
      <c r="H55" s="416">
        <f t="shared" si="17"/>
        <v>0</v>
      </c>
      <c r="I55" s="416">
        <f t="shared" si="17"/>
        <v>0</v>
      </c>
      <c r="K55" s="496"/>
    </row>
    <row r="56" spans="1:11" ht="51">
      <c r="A56" s="3"/>
      <c r="B56" s="4" t="s">
        <v>19</v>
      </c>
      <c r="C56" s="4" t="s">
        <v>140</v>
      </c>
      <c r="D56" s="410" t="s">
        <v>139</v>
      </c>
      <c r="E56" s="411">
        <v>0</v>
      </c>
      <c r="F56" s="411">
        <v>0</v>
      </c>
      <c r="G56" s="411">
        <v>0</v>
      </c>
      <c r="H56" s="411">
        <v>0</v>
      </c>
      <c r="I56" s="411">
        <f>H56</f>
        <v>0</v>
      </c>
    </row>
    <row r="57" spans="1:11">
      <c r="A57" s="368">
        <v>752</v>
      </c>
      <c r="B57" s="405"/>
      <c r="C57" s="406"/>
      <c r="D57" s="407" t="s">
        <v>64</v>
      </c>
      <c r="E57" s="408">
        <f>E58+E61</f>
        <v>44000</v>
      </c>
      <c r="F57" s="408">
        <f t="shared" ref="F57:I57" si="18">F58+F61</f>
        <v>44000</v>
      </c>
      <c r="G57" s="408">
        <f t="shared" si="18"/>
        <v>0</v>
      </c>
      <c r="H57" s="408">
        <f t="shared" si="18"/>
        <v>49000</v>
      </c>
      <c r="I57" s="408">
        <f t="shared" si="18"/>
        <v>49000</v>
      </c>
    </row>
    <row r="58" spans="1:11">
      <c r="A58" s="7"/>
      <c r="B58" s="409">
        <v>75224</v>
      </c>
      <c r="C58" s="414"/>
      <c r="D58" s="415" t="s">
        <v>65</v>
      </c>
      <c r="E58" s="416">
        <f>E59</f>
        <v>44000</v>
      </c>
      <c r="F58" s="416">
        <f t="shared" ref="F58:G58" si="19">F59+F60</f>
        <v>44000</v>
      </c>
      <c r="G58" s="416">
        <f t="shared" si="19"/>
        <v>0</v>
      </c>
      <c r="H58" s="416">
        <f>H59+H60</f>
        <v>49000</v>
      </c>
      <c r="I58" s="416">
        <f>I59+I60</f>
        <v>49000</v>
      </c>
    </row>
    <row r="59" spans="1:11" ht="38.25">
      <c r="A59" s="7"/>
      <c r="B59" s="4" t="s">
        <v>12</v>
      </c>
      <c r="C59" s="4" t="s">
        <v>13</v>
      </c>
      <c r="D59" s="410" t="s">
        <v>14</v>
      </c>
      <c r="E59" s="411">
        <v>44000</v>
      </c>
      <c r="F59" s="411">
        <f>'Wykonanie 8 2025'!H55</f>
        <v>44000</v>
      </c>
      <c r="G59" s="411">
        <v>0</v>
      </c>
      <c r="H59" s="411">
        <v>49000</v>
      </c>
      <c r="I59" s="411">
        <f>H59</f>
        <v>49000</v>
      </c>
    </row>
    <row r="60" spans="1:11" ht="38.25">
      <c r="A60" s="7"/>
      <c r="B60" s="4" t="s">
        <v>61</v>
      </c>
      <c r="C60" s="4" t="s">
        <v>62</v>
      </c>
      <c r="D60" s="410" t="s">
        <v>63</v>
      </c>
      <c r="E60" s="411">
        <f t="shared" si="16"/>
        <v>0</v>
      </c>
      <c r="F60" s="411">
        <f>'[1]budżet 31.08.2022'!H61</f>
        <v>0</v>
      </c>
      <c r="G60" s="411">
        <f>'[1]budżet 31.08.2022'!J61</f>
        <v>0</v>
      </c>
      <c r="H60" s="411">
        <v>0</v>
      </c>
      <c r="I60" s="411">
        <f>H60</f>
        <v>0</v>
      </c>
    </row>
    <row r="61" spans="1:11">
      <c r="A61" s="3"/>
      <c r="B61" s="409">
        <v>75295</v>
      </c>
      <c r="C61" s="414"/>
      <c r="D61" s="415" t="s">
        <v>45</v>
      </c>
      <c r="E61" s="416">
        <f t="shared" si="16"/>
        <v>0</v>
      </c>
      <c r="F61" s="416">
        <f t="shared" ref="F61:I61" si="20">F62</f>
        <v>0</v>
      </c>
      <c r="G61" s="416">
        <f t="shared" si="20"/>
        <v>0</v>
      </c>
      <c r="H61" s="416">
        <f t="shared" si="20"/>
        <v>0</v>
      </c>
      <c r="I61" s="416">
        <f t="shared" si="20"/>
        <v>0</v>
      </c>
    </row>
    <row r="62" spans="1:11" ht="38.25">
      <c r="A62" s="3"/>
      <c r="B62" s="4" t="s">
        <v>12</v>
      </c>
      <c r="C62" s="4" t="s">
        <v>13</v>
      </c>
      <c r="D62" s="410" t="s">
        <v>14</v>
      </c>
      <c r="E62" s="411">
        <f t="shared" si="16"/>
        <v>0</v>
      </c>
      <c r="F62" s="411">
        <v>0</v>
      </c>
      <c r="G62" s="411">
        <v>0</v>
      </c>
      <c r="H62" s="411">
        <v>0</v>
      </c>
      <c r="I62" s="411">
        <f>H62</f>
        <v>0</v>
      </c>
    </row>
    <row r="63" spans="1:11">
      <c r="A63" s="368">
        <v>754</v>
      </c>
      <c r="B63" s="405"/>
      <c r="C63" s="406"/>
      <c r="D63" s="407" t="s">
        <v>66</v>
      </c>
      <c r="E63" s="408">
        <f>E64+E68</f>
        <v>9936000</v>
      </c>
      <c r="F63" s="408">
        <f>F64+F68</f>
        <v>10547649</v>
      </c>
      <c r="G63" s="408">
        <f>G64+G68</f>
        <v>603.07000000000005</v>
      </c>
      <c r="H63" s="408">
        <f>H64+H68</f>
        <v>10309000</v>
      </c>
      <c r="I63" s="408">
        <f>I64+I68</f>
        <v>10309000</v>
      </c>
      <c r="J63" s="418"/>
    </row>
    <row r="64" spans="1:11">
      <c r="A64" s="3"/>
      <c r="B64" s="409">
        <v>75411</v>
      </c>
      <c r="C64" s="414"/>
      <c r="D64" s="415" t="s">
        <v>67</v>
      </c>
      <c r="E64" s="416">
        <f>E65+E66+E67</f>
        <v>9936000</v>
      </c>
      <c r="F64" s="416">
        <f t="shared" ref="F64:I64" si="21">F65+F66+F67</f>
        <v>10547649</v>
      </c>
      <c r="G64" s="416">
        <f t="shared" si="21"/>
        <v>603.07000000000005</v>
      </c>
      <c r="H64" s="416">
        <f t="shared" si="21"/>
        <v>10309000</v>
      </c>
      <c r="I64" s="416">
        <f t="shared" si="21"/>
        <v>10309000</v>
      </c>
    </row>
    <row r="65" spans="1:10">
      <c r="A65" s="3"/>
      <c r="B65" s="4" t="s">
        <v>19</v>
      </c>
      <c r="C65" s="4" t="s">
        <v>40</v>
      </c>
      <c r="D65" s="419" t="s">
        <v>41</v>
      </c>
      <c r="E65" s="411">
        <v>0</v>
      </c>
      <c r="F65" s="411">
        <v>0</v>
      </c>
      <c r="G65" s="411">
        <v>0</v>
      </c>
      <c r="H65" s="411">
        <v>0</v>
      </c>
      <c r="I65" s="411">
        <f>H65</f>
        <v>0</v>
      </c>
    </row>
    <row r="66" spans="1:10" ht="38.25">
      <c r="A66" s="3"/>
      <c r="B66" s="4" t="s">
        <v>12</v>
      </c>
      <c r="C66" s="4" t="s">
        <v>13</v>
      </c>
      <c r="D66" s="410" t="s">
        <v>14</v>
      </c>
      <c r="E66" s="411">
        <v>9936000</v>
      </c>
      <c r="F66" s="411">
        <f>'Wykonanie 8 2025'!H56</f>
        <v>10547649</v>
      </c>
      <c r="G66" s="411">
        <v>0</v>
      </c>
      <c r="H66" s="411">
        <v>10309000</v>
      </c>
      <c r="I66" s="411">
        <f>H66</f>
        <v>10309000</v>
      </c>
    </row>
    <row r="67" spans="1:10" ht="38.25">
      <c r="A67" s="3"/>
      <c r="B67" s="4" t="s">
        <v>19</v>
      </c>
      <c r="C67" s="4" t="s">
        <v>715</v>
      </c>
      <c r="D67" s="410" t="s">
        <v>716</v>
      </c>
      <c r="E67" s="411">
        <v>0</v>
      </c>
      <c r="F67" s="411">
        <f>'[1]budżet 31.08.2022'!H63</f>
        <v>0</v>
      </c>
      <c r="G67" s="411">
        <f>'Wykonanie 8 2025'!J57</f>
        <v>603.07000000000005</v>
      </c>
      <c r="H67" s="411">
        <v>0</v>
      </c>
      <c r="I67" s="411">
        <v>0</v>
      </c>
    </row>
    <row r="68" spans="1:10">
      <c r="A68" s="3"/>
      <c r="B68" s="409">
        <v>75495</v>
      </c>
      <c r="C68" s="414"/>
      <c r="D68" s="415" t="s">
        <v>45</v>
      </c>
      <c r="E68" s="416">
        <f t="shared" si="16"/>
        <v>0</v>
      </c>
      <c r="F68" s="416">
        <f t="shared" ref="F68:I68" si="22">F69</f>
        <v>0</v>
      </c>
      <c r="G68" s="416">
        <f t="shared" si="22"/>
        <v>0</v>
      </c>
      <c r="H68" s="416">
        <f t="shared" si="22"/>
        <v>0</v>
      </c>
      <c r="I68" s="416">
        <f t="shared" si="22"/>
        <v>0</v>
      </c>
    </row>
    <row r="69" spans="1:10" ht="25.5">
      <c r="A69" s="3"/>
      <c r="B69" s="4" t="s">
        <v>19</v>
      </c>
      <c r="C69" s="4" t="s">
        <v>68</v>
      </c>
      <c r="D69" s="410" t="s">
        <v>69</v>
      </c>
      <c r="E69" s="411">
        <v>0</v>
      </c>
      <c r="F69" s="411">
        <v>0</v>
      </c>
      <c r="G69" s="411">
        <v>0</v>
      </c>
      <c r="H69" s="411">
        <v>0</v>
      </c>
      <c r="I69" s="411">
        <f>H69</f>
        <v>0</v>
      </c>
    </row>
    <row r="70" spans="1:10">
      <c r="A70" s="368">
        <v>755</v>
      </c>
      <c r="B70" s="405"/>
      <c r="C70" s="406"/>
      <c r="D70" s="407" t="s">
        <v>70</v>
      </c>
      <c r="E70" s="408">
        <f>E71</f>
        <v>219744</v>
      </c>
      <c r="F70" s="408">
        <f t="shared" ref="F70:I71" si="23">F71</f>
        <v>219744</v>
      </c>
      <c r="G70" s="408">
        <f t="shared" si="23"/>
        <v>0</v>
      </c>
      <c r="H70" s="408">
        <f t="shared" si="23"/>
        <v>227160</v>
      </c>
      <c r="I70" s="408">
        <f t="shared" si="23"/>
        <v>227160</v>
      </c>
      <c r="J70" s="418"/>
    </row>
    <row r="71" spans="1:10">
      <c r="A71" s="3"/>
      <c r="B71" s="409">
        <v>75515</v>
      </c>
      <c r="C71" s="414"/>
      <c r="D71" s="415" t="s">
        <v>71</v>
      </c>
      <c r="E71" s="416">
        <f>E72</f>
        <v>219744</v>
      </c>
      <c r="F71" s="416">
        <f t="shared" si="23"/>
        <v>219744</v>
      </c>
      <c r="G71" s="416">
        <f t="shared" si="23"/>
        <v>0</v>
      </c>
      <c r="H71" s="416">
        <f t="shared" si="23"/>
        <v>227160</v>
      </c>
      <c r="I71" s="416">
        <f t="shared" si="23"/>
        <v>227160</v>
      </c>
    </row>
    <row r="72" spans="1:10" ht="38.25">
      <c r="A72" s="3"/>
      <c r="B72" s="4" t="s">
        <v>12</v>
      </c>
      <c r="C72" s="4" t="s">
        <v>13</v>
      </c>
      <c r="D72" s="410" t="s">
        <v>14</v>
      </c>
      <c r="E72" s="411">
        <v>219744</v>
      </c>
      <c r="F72" s="411">
        <f>'Wykonanie 8 2025'!H59</f>
        <v>219744</v>
      </c>
      <c r="G72" s="411">
        <v>0</v>
      </c>
      <c r="H72" s="411">
        <v>227160</v>
      </c>
      <c r="I72" s="411">
        <f>H72</f>
        <v>227160</v>
      </c>
    </row>
    <row r="73" spans="1:10" ht="38.25">
      <c r="A73" s="368" t="s">
        <v>72</v>
      </c>
      <c r="B73" s="405"/>
      <c r="C73" s="406"/>
      <c r="D73" s="407" t="s">
        <v>73</v>
      </c>
      <c r="E73" s="408">
        <f>E74++E108</f>
        <v>97332022.940000013</v>
      </c>
      <c r="F73" s="408">
        <f t="shared" ref="F73" si="24">F74+F108</f>
        <v>97320021.940000013</v>
      </c>
      <c r="G73" s="408">
        <f>G74+G108</f>
        <v>97680361.750000015</v>
      </c>
      <c r="H73" s="408">
        <f t="shared" ref="H73:I73" si="25">H74+H108</f>
        <v>101796731</v>
      </c>
      <c r="I73" s="408">
        <f t="shared" si="25"/>
        <v>103675731</v>
      </c>
      <c r="J73" s="418"/>
    </row>
    <row r="74" spans="1:10" ht="25.5">
      <c r="A74" s="3"/>
      <c r="B74" s="409" t="s">
        <v>74</v>
      </c>
      <c r="C74" s="414"/>
      <c r="D74" s="415" t="s">
        <v>75</v>
      </c>
      <c r="E74" s="416">
        <f t="shared" ref="E74:I74" si="26">E75+E78+E80+E84+E87+E90+E93+E95+E98+E100+E102+E104+E106</f>
        <v>3638500</v>
      </c>
      <c r="F74" s="416">
        <f t="shared" si="26"/>
        <v>3626500</v>
      </c>
      <c r="G74" s="416">
        <f t="shared" si="26"/>
        <v>3986839.81</v>
      </c>
      <c r="H74" s="416">
        <f>H75+H78+H80+H84+H87+H90+H93+H95+H98+H100+H102+H104+H106</f>
        <v>2093000</v>
      </c>
      <c r="I74" s="416">
        <f t="shared" si="26"/>
        <v>3972000</v>
      </c>
    </row>
    <row r="75" spans="1:10">
      <c r="A75" s="3"/>
      <c r="B75" s="4" t="s">
        <v>19</v>
      </c>
      <c r="C75" s="4" t="s">
        <v>76</v>
      </c>
      <c r="D75" s="410" t="s">
        <v>77</v>
      </c>
      <c r="E75" s="411">
        <v>1400000</v>
      </c>
      <c r="F75" s="411">
        <f>F76</f>
        <v>1400000</v>
      </c>
      <c r="G75" s="411">
        <f t="shared" ref="G75:I75" si="27">G76</f>
        <v>1480000</v>
      </c>
      <c r="H75" s="411">
        <f t="shared" si="27"/>
        <v>1400000</v>
      </c>
      <c r="I75" s="411">
        <f t="shared" si="27"/>
        <v>1480000</v>
      </c>
    </row>
    <row r="76" spans="1:10">
      <c r="A76" s="3"/>
      <c r="B76" s="4"/>
      <c r="C76" s="4"/>
      <c r="D76" s="424" t="s">
        <v>78</v>
      </c>
      <c r="E76" s="411">
        <v>1400000</v>
      </c>
      <c r="F76" s="411">
        <f>'Wykonanie 8 2025'!H60</f>
        <v>1400000</v>
      </c>
      <c r="G76" s="411">
        <v>1480000</v>
      </c>
      <c r="H76" s="411">
        <v>1400000</v>
      </c>
      <c r="I76" s="411">
        <v>1480000</v>
      </c>
    </row>
    <row r="77" spans="1:10">
      <c r="A77" s="3"/>
      <c r="B77" s="4"/>
      <c r="C77" s="4"/>
      <c r="D77" s="424" t="s">
        <v>79</v>
      </c>
      <c r="E77" s="411">
        <f t="shared" si="16"/>
        <v>0</v>
      </c>
      <c r="F77" s="411">
        <v>0</v>
      </c>
      <c r="G77" s="411">
        <v>0</v>
      </c>
      <c r="H77" s="411">
        <v>0</v>
      </c>
      <c r="I77" s="411">
        <v>0</v>
      </c>
    </row>
    <row r="78" spans="1:10">
      <c r="A78" s="3"/>
      <c r="B78" s="4" t="s">
        <v>19</v>
      </c>
      <c r="C78" s="4" t="s">
        <v>80</v>
      </c>
      <c r="D78" s="410" t="s">
        <v>81</v>
      </c>
      <c r="E78" s="411">
        <v>32500</v>
      </c>
      <c r="F78" s="411">
        <f t="shared" ref="F78:I78" si="28">F79</f>
        <v>32500</v>
      </c>
      <c r="G78" s="411">
        <f t="shared" si="28"/>
        <v>0</v>
      </c>
      <c r="H78" s="411">
        <f t="shared" si="28"/>
        <v>0</v>
      </c>
      <c r="I78" s="411">
        <f t="shared" si="28"/>
        <v>32000</v>
      </c>
    </row>
    <row r="79" spans="1:10">
      <c r="A79" s="3"/>
      <c r="B79" s="4"/>
      <c r="C79" s="4"/>
      <c r="D79" s="410" t="s">
        <v>82</v>
      </c>
      <c r="E79" s="411">
        <v>32500</v>
      </c>
      <c r="F79" s="411">
        <f>'Wykonanie 8 2025'!H61</f>
        <v>32500</v>
      </c>
      <c r="G79" s="411">
        <v>0</v>
      </c>
      <c r="H79" s="411">
        <v>0</v>
      </c>
      <c r="I79" s="411">
        <v>32000</v>
      </c>
    </row>
    <row r="80" spans="1:10" ht="25.5">
      <c r="A80" s="8"/>
      <c r="B80" s="4" t="s">
        <v>19</v>
      </c>
      <c r="C80" s="4" t="s">
        <v>27</v>
      </c>
      <c r="D80" s="410" t="s">
        <v>28</v>
      </c>
      <c r="E80" s="411">
        <v>1510000</v>
      </c>
      <c r="F80" s="411">
        <f t="shared" ref="F80:I80" si="29">F81+F82+F83</f>
        <v>1510000</v>
      </c>
      <c r="G80" s="411">
        <f t="shared" si="29"/>
        <v>1802500</v>
      </c>
      <c r="H80" s="411">
        <f t="shared" si="29"/>
        <v>50000</v>
      </c>
      <c r="I80" s="411">
        <f t="shared" si="29"/>
        <v>1800000</v>
      </c>
    </row>
    <row r="81" spans="1:9">
      <c r="A81" s="3"/>
      <c r="B81" s="4"/>
      <c r="C81" s="4"/>
      <c r="D81" s="424" t="s">
        <v>83</v>
      </c>
      <c r="E81" s="411">
        <f>'Wykonanie 8 2025'!H64</f>
        <v>0</v>
      </c>
      <c r="F81" s="411">
        <f>'Wykonanie 8 2025'!H64</f>
        <v>0</v>
      </c>
      <c r="G81" s="411">
        <v>0</v>
      </c>
      <c r="H81" s="411">
        <v>0</v>
      </c>
      <c r="I81" s="411">
        <v>0</v>
      </c>
    </row>
    <row r="82" spans="1:9">
      <c r="A82" s="3"/>
      <c r="B82" s="4"/>
      <c r="C82" s="4"/>
      <c r="D82" s="424" t="s">
        <v>78</v>
      </c>
      <c r="E82" s="411">
        <f>'Wykonanie 8 2025'!H63</f>
        <v>60000</v>
      </c>
      <c r="F82" s="411">
        <v>60000</v>
      </c>
      <c r="G82" s="411">
        <v>48500</v>
      </c>
      <c r="H82" s="411">
        <v>50000</v>
      </c>
      <c r="I82" s="411">
        <v>50000</v>
      </c>
    </row>
    <row r="83" spans="1:9">
      <c r="A83" s="3"/>
      <c r="B83" s="4"/>
      <c r="C83" s="4"/>
      <c r="D83" s="424" t="s">
        <v>84</v>
      </c>
      <c r="E83" s="411">
        <f>'Wykonanie 8 2025'!H62</f>
        <v>1450000</v>
      </c>
      <c r="F83" s="411">
        <v>1450000</v>
      </c>
      <c r="G83" s="411">
        <v>1754000</v>
      </c>
      <c r="H83" s="411">
        <v>0</v>
      </c>
      <c r="I83" s="411">
        <v>1750000</v>
      </c>
    </row>
    <row r="84" spans="1:9">
      <c r="A84" s="3"/>
      <c r="B84" s="4" t="s">
        <v>19</v>
      </c>
      <c r="C84" s="4" t="s">
        <v>46</v>
      </c>
      <c r="D84" s="423" t="s">
        <v>85</v>
      </c>
      <c r="E84" s="411">
        <v>200000</v>
      </c>
      <c r="F84" s="411">
        <f t="shared" ref="F84:I84" si="30">F85</f>
        <v>200000</v>
      </c>
      <c r="G84" s="411">
        <f t="shared" si="30"/>
        <v>250000</v>
      </c>
      <c r="H84" s="411">
        <f t="shared" si="30"/>
        <v>200000</v>
      </c>
      <c r="I84" s="411">
        <f t="shared" si="30"/>
        <v>200000</v>
      </c>
    </row>
    <row r="85" spans="1:9">
      <c r="A85" s="3"/>
      <c r="B85" s="4"/>
      <c r="C85" s="4"/>
      <c r="D85" s="424" t="s">
        <v>78</v>
      </c>
      <c r="E85" s="411">
        <v>200000</v>
      </c>
      <c r="F85" s="411">
        <f>'Wykonanie 8 2025'!H65</f>
        <v>200000</v>
      </c>
      <c r="G85" s="411">
        <v>250000</v>
      </c>
      <c r="H85" s="411">
        <v>200000</v>
      </c>
      <c r="I85" s="411">
        <v>200000</v>
      </c>
    </row>
    <row r="86" spans="1:9">
      <c r="A86" s="3"/>
      <c r="B86" s="4"/>
      <c r="C86" s="4"/>
      <c r="D86" s="424" t="s">
        <v>83</v>
      </c>
      <c r="E86" s="411">
        <v>0</v>
      </c>
      <c r="F86" s="411">
        <v>0</v>
      </c>
      <c r="G86" s="411">
        <v>0</v>
      </c>
      <c r="H86" s="411">
        <v>0</v>
      </c>
      <c r="I86" s="411">
        <v>0</v>
      </c>
    </row>
    <row r="87" spans="1:9">
      <c r="A87" s="3"/>
      <c r="B87" s="4" t="s">
        <v>19</v>
      </c>
      <c r="C87" s="4" t="s">
        <v>86</v>
      </c>
      <c r="D87" s="423" t="s">
        <v>87</v>
      </c>
      <c r="E87" s="411">
        <v>10000</v>
      </c>
      <c r="F87" s="411">
        <f t="shared" ref="F87:I87" si="31">F88</f>
        <v>10000</v>
      </c>
      <c r="G87" s="411">
        <f t="shared" si="31"/>
        <v>15000</v>
      </c>
      <c r="H87" s="411">
        <f t="shared" si="31"/>
        <v>10000</v>
      </c>
      <c r="I87" s="411">
        <f t="shared" si="31"/>
        <v>10000</v>
      </c>
    </row>
    <row r="88" spans="1:9">
      <c r="A88" s="3"/>
      <c r="B88" s="4"/>
      <c r="C88" s="4"/>
      <c r="D88" s="424" t="s">
        <v>78</v>
      </c>
      <c r="E88" s="411">
        <v>10000</v>
      </c>
      <c r="F88" s="411">
        <f>'Wykonanie 8 2025'!H66</f>
        <v>10000</v>
      </c>
      <c r="G88" s="411">
        <v>15000</v>
      </c>
      <c r="H88" s="411">
        <v>10000</v>
      </c>
      <c r="I88" s="411">
        <v>10000</v>
      </c>
    </row>
    <row r="89" spans="1:9">
      <c r="A89" s="3"/>
      <c r="B89" s="4"/>
      <c r="C89" s="4"/>
      <c r="D89" s="424" t="s">
        <v>88</v>
      </c>
      <c r="E89" s="411">
        <v>0</v>
      </c>
      <c r="F89" s="411">
        <v>0</v>
      </c>
      <c r="G89" s="411">
        <v>0</v>
      </c>
      <c r="H89" s="411">
        <v>0</v>
      </c>
      <c r="I89" s="411">
        <v>0</v>
      </c>
    </row>
    <row r="90" spans="1:9">
      <c r="A90" s="3"/>
      <c r="B90" s="4" t="s">
        <v>19</v>
      </c>
      <c r="C90" s="4" t="s">
        <v>89</v>
      </c>
      <c r="D90" s="410" t="s">
        <v>90</v>
      </c>
      <c r="E90" s="411">
        <v>2500</v>
      </c>
      <c r="F90" s="411">
        <f>F91</f>
        <v>2500</v>
      </c>
      <c r="G90" s="411">
        <f t="shared" ref="G90:I90" si="32">G91</f>
        <v>6839.81</v>
      </c>
      <c r="H90" s="411">
        <f t="shared" si="32"/>
        <v>3000</v>
      </c>
      <c r="I90" s="411">
        <f t="shared" si="32"/>
        <v>3000</v>
      </c>
    </row>
    <row r="91" spans="1:9">
      <c r="A91" s="3"/>
      <c r="B91" s="4"/>
      <c r="C91" s="4"/>
      <c r="D91" s="424" t="s">
        <v>78</v>
      </c>
      <c r="E91" s="411">
        <v>2500</v>
      </c>
      <c r="F91" s="411">
        <f>'Wykonanie 8 2025'!H67</f>
        <v>2500</v>
      </c>
      <c r="G91" s="411">
        <v>6839.81</v>
      </c>
      <c r="H91" s="411">
        <v>3000</v>
      </c>
      <c r="I91" s="411">
        <v>3000</v>
      </c>
    </row>
    <row r="92" spans="1:9">
      <c r="A92" s="3"/>
      <c r="B92" s="4"/>
      <c r="C92" s="4"/>
      <c r="D92" s="424" t="s">
        <v>91</v>
      </c>
      <c r="E92" s="411">
        <v>0</v>
      </c>
      <c r="F92" s="411">
        <v>0</v>
      </c>
      <c r="G92" s="411">
        <v>0</v>
      </c>
      <c r="H92" s="411">
        <v>0</v>
      </c>
      <c r="I92" s="411">
        <v>0</v>
      </c>
    </row>
    <row r="93" spans="1:9" ht="25.5">
      <c r="A93" s="3"/>
      <c r="B93" s="4" t="s">
        <v>19</v>
      </c>
      <c r="C93" s="4" t="s">
        <v>92</v>
      </c>
      <c r="D93" s="410" t="s">
        <v>93</v>
      </c>
      <c r="E93" s="411">
        <v>2500</v>
      </c>
      <c r="F93" s="411">
        <f>F94</f>
        <v>2500</v>
      </c>
      <c r="G93" s="411">
        <f t="shared" ref="G93:I93" si="33">G94</f>
        <v>0</v>
      </c>
      <c r="H93" s="411">
        <f t="shared" si="33"/>
        <v>0</v>
      </c>
      <c r="I93" s="411">
        <f t="shared" si="33"/>
        <v>5000</v>
      </c>
    </row>
    <row r="94" spans="1:9">
      <c r="A94" s="3"/>
      <c r="B94" s="4"/>
      <c r="C94" s="4"/>
      <c r="D94" s="424" t="s">
        <v>78</v>
      </c>
      <c r="E94" s="411">
        <v>2500</v>
      </c>
      <c r="F94" s="411">
        <f>'Wykonanie 8 2025'!H68</f>
        <v>2500</v>
      </c>
      <c r="G94" s="411">
        <v>0</v>
      </c>
      <c r="H94" s="411">
        <v>0</v>
      </c>
      <c r="I94" s="411">
        <v>5000</v>
      </c>
    </row>
    <row r="95" spans="1:9">
      <c r="A95" s="3"/>
      <c r="B95" s="4" t="s">
        <v>19</v>
      </c>
      <c r="C95" s="4" t="s">
        <v>94</v>
      </c>
      <c r="D95" s="423" t="s">
        <v>95</v>
      </c>
      <c r="E95" s="411">
        <v>19000</v>
      </c>
      <c r="F95" s="411">
        <f t="shared" ref="F95:I95" si="34">F96+F97</f>
        <v>19000</v>
      </c>
      <c r="G95" s="411">
        <f t="shared" si="34"/>
        <v>35500</v>
      </c>
      <c r="H95" s="411">
        <f t="shared" si="34"/>
        <v>40000</v>
      </c>
      <c r="I95" s="411">
        <f t="shared" si="34"/>
        <v>40000</v>
      </c>
    </row>
    <row r="96" spans="1:9">
      <c r="A96" s="3"/>
      <c r="B96" s="4"/>
      <c r="C96" s="4"/>
      <c r="D96" s="424" t="s">
        <v>83</v>
      </c>
      <c r="E96" s="411">
        <v>10000</v>
      </c>
      <c r="F96" s="411">
        <f>'Wykonanie 8 2025'!H70</f>
        <v>0</v>
      </c>
      <c r="G96" s="411">
        <f>'Wykonanie 8 2025'!J70</f>
        <v>15500</v>
      </c>
      <c r="H96" s="411">
        <v>20000</v>
      </c>
      <c r="I96" s="411">
        <v>20000</v>
      </c>
    </row>
    <row r="97" spans="1:11">
      <c r="A97" s="3"/>
      <c r="B97" s="4"/>
      <c r="C97" s="4"/>
      <c r="D97" s="424" t="s">
        <v>78</v>
      </c>
      <c r="E97" s="411">
        <v>9000</v>
      </c>
      <c r="F97" s="411">
        <f>'Wykonanie 8 2025'!H69</f>
        <v>19000</v>
      </c>
      <c r="G97" s="411">
        <v>20000</v>
      </c>
      <c r="H97" s="411">
        <v>20000</v>
      </c>
      <c r="I97" s="411">
        <v>20000</v>
      </c>
    </row>
    <row r="98" spans="1:11" ht="25.5">
      <c r="A98" s="3"/>
      <c r="B98" s="4" t="s">
        <v>19</v>
      </c>
      <c r="C98" s="4" t="s">
        <v>34</v>
      </c>
      <c r="D98" s="423" t="s">
        <v>35</v>
      </c>
      <c r="E98" s="411">
        <v>0</v>
      </c>
      <c r="F98" s="411">
        <v>0</v>
      </c>
      <c r="G98" s="411">
        <v>0</v>
      </c>
      <c r="H98" s="411">
        <v>0</v>
      </c>
      <c r="I98" s="411">
        <v>0</v>
      </c>
    </row>
    <row r="99" spans="1:11">
      <c r="A99" s="3"/>
      <c r="B99" s="4"/>
      <c r="C99" s="4"/>
      <c r="D99" s="424" t="s">
        <v>96</v>
      </c>
      <c r="E99" s="411">
        <v>0</v>
      </c>
      <c r="F99" s="411">
        <v>0</v>
      </c>
      <c r="G99" s="411">
        <v>0</v>
      </c>
      <c r="H99" s="411">
        <v>0</v>
      </c>
      <c r="I99" s="411">
        <v>0</v>
      </c>
    </row>
    <row r="100" spans="1:11">
      <c r="A100" s="3"/>
      <c r="B100" s="4" t="s">
        <v>19</v>
      </c>
      <c r="C100" s="4" t="s">
        <v>97</v>
      </c>
      <c r="D100" s="423" t="s">
        <v>98</v>
      </c>
      <c r="E100" s="411">
        <v>400000</v>
      </c>
      <c r="F100" s="411">
        <f>F101</f>
        <v>400000</v>
      </c>
      <c r="G100" s="411">
        <f t="shared" ref="G100:I100" si="35">G101</f>
        <v>340000</v>
      </c>
      <c r="H100" s="411">
        <f t="shared" si="35"/>
        <v>340000</v>
      </c>
      <c r="I100" s="411">
        <f t="shared" si="35"/>
        <v>340000</v>
      </c>
    </row>
    <row r="101" spans="1:11">
      <c r="A101" s="3"/>
      <c r="B101" s="4"/>
      <c r="C101" s="4"/>
      <c r="D101" s="424" t="s">
        <v>78</v>
      </c>
      <c r="E101" s="411">
        <v>400000</v>
      </c>
      <c r="F101" s="411">
        <v>400000</v>
      </c>
      <c r="G101" s="411">
        <v>340000</v>
      </c>
      <c r="H101" s="411">
        <v>340000</v>
      </c>
      <c r="I101" s="411">
        <v>340000</v>
      </c>
    </row>
    <row r="102" spans="1:11">
      <c r="A102" s="3"/>
      <c r="B102" s="4" t="s">
        <v>19</v>
      </c>
      <c r="C102" s="4" t="s">
        <v>47</v>
      </c>
      <c r="D102" s="410" t="s">
        <v>48</v>
      </c>
      <c r="E102" s="411">
        <v>12000</v>
      </c>
      <c r="F102" s="411">
        <v>0</v>
      </c>
      <c r="G102" s="411">
        <v>0</v>
      </c>
      <c r="H102" s="411">
        <v>0</v>
      </c>
      <c r="I102" s="411">
        <f>I103</f>
        <v>12000</v>
      </c>
    </row>
    <row r="103" spans="1:11">
      <c r="A103" s="3"/>
      <c r="B103" s="4"/>
      <c r="C103" s="4"/>
      <c r="D103" s="424" t="s">
        <v>79</v>
      </c>
      <c r="E103" s="411">
        <v>12000</v>
      </c>
      <c r="F103" s="411">
        <v>0</v>
      </c>
      <c r="G103" s="411">
        <v>0</v>
      </c>
      <c r="H103" s="411">
        <v>0</v>
      </c>
      <c r="I103" s="411">
        <v>12000</v>
      </c>
    </row>
    <row r="104" spans="1:11">
      <c r="A104" s="3"/>
      <c r="B104" s="4" t="s">
        <v>19</v>
      </c>
      <c r="C104" s="4" t="s">
        <v>40</v>
      </c>
      <c r="D104" s="410" t="s">
        <v>41</v>
      </c>
      <c r="E104" s="411">
        <v>0</v>
      </c>
      <c r="F104" s="411">
        <v>0</v>
      </c>
      <c r="G104" s="411">
        <v>0</v>
      </c>
      <c r="H104" s="411">
        <v>0</v>
      </c>
      <c r="I104" s="411">
        <v>0</v>
      </c>
    </row>
    <row r="105" spans="1:11">
      <c r="A105" s="3"/>
      <c r="B105" s="4"/>
      <c r="C105" s="4"/>
      <c r="D105" s="424" t="s">
        <v>96</v>
      </c>
      <c r="E105" s="411">
        <v>0</v>
      </c>
      <c r="F105" s="411">
        <v>0</v>
      </c>
      <c r="G105" s="411">
        <v>0</v>
      </c>
      <c r="H105" s="411">
        <v>0</v>
      </c>
      <c r="I105" s="411">
        <v>0</v>
      </c>
    </row>
    <row r="106" spans="1:11">
      <c r="A106" s="3"/>
      <c r="B106" s="4" t="s">
        <v>19</v>
      </c>
      <c r="C106" s="4" t="s">
        <v>25</v>
      </c>
      <c r="D106" s="423" t="s">
        <v>26</v>
      </c>
      <c r="E106" s="411">
        <v>50000</v>
      </c>
      <c r="F106" s="411">
        <f>F107</f>
        <v>50000</v>
      </c>
      <c r="G106" s="411">
        <f t="shared" ref="G106:I106" si="36">G107</f>
        <v>57000</v>
      </c>
      <c r="H106" s="411">
        <f t="shared" si="36"/>
        <v>50000</v>
      </c>
      <c r="I106" s="411">
        <f t="shared" si="36"/>
        <v>50000</v>
      </c>
    </row>
    <row r="107" spans="1:11">
      <c r="A107" s="3"/>
      <c r="B107" s="4"/>
      <c r="C107" s="4"/>
      <c r="D107" s="424" t="s">
        <v>78</v>
      </c>
      <c r="E107" s="411">
        <v>50000</v>
      </c>
      <c r="F107" s="411">
        <v>50000</v>
      </c>
      <c r="G107" s="411">
        <v>57000</v>
      </c>
      <c r="H107" s="411">
        <v>50000</v>
      </c>
      <c r="I107" s="411">
        <v>50000</v>
      </c>
    </row>
    <row r="108" spans="1:11" ht="25.5">
      <c r="A108" s="3"/>
      <c r="B108" s="409">
        <v>75622</v>
      </c>
      <c r="C108" s="414"/>
      <c r="D108" s="415" t="s">
        <v>99</v>
      </c>
      <c r="E108" s="416">
        <f>E110+E111</f>
        <v>93693522.940000013</v>
      </c>
      <c r="F108" s="416">
        <f t="shared" ref="F108:I108" si="37">F110+F111</f>
        <v>93693521.940000013</v>
      </c>
      <c r="G108" s="416">
        <f t="shared" si="37"/>
        <v>93693521.940000013</v>
      </c>
      <c r="H108" s="416">
        <f t="shared" si="37"/>
        <v>99703731</v>
      </c>
      <c r="I108" s="416">
        <f t="shared" si="37"/>
        <v>99703731</v>
      </c>
    </row>
    <row r="109" spans="1:11">
      <c r="A109" s="9"/>
      <c r="B109" s="425"/>
      <c r="C109" s="403"/>
      <c r="D109" s="426" t="s">
        <v>100</v>
      </c>
      <c r="E109" s="427"/>
      <c r="F109" s="427"/>
      <c r="G109" s="427"/>
      <c r="H109" s="427"/>
      <c r="I109" s="427"/>
    </row>
    <row r="110" spans="1:11">
      <c r="A110" s="3"/>
      <c r="B110" s="4" t="s">
        <v>19</v>
      </c>
      <c r="C110" s="4" t="s">
        <v>101</v>
      </c>
      <c r="D110" s="410" t="s">
        <v>102</v>
      </c>
      <c r="E110" s="411">
        <v>78593464.290000007</v>
      </c>
      <c r="F110" s="411">
        <f>'Wykonanie 8 2025'!H77</f>
        <v>78593464.290000007</v>
      </c>
      <c r="G110" s="411">
        <f>F110</f>
        <v>78593464.290000007</v>
      </c>
      <c r="H110" s="411">
        <v>84784467</v>
      </c>
      <c r="I110" s="411">
        <f>H110</f>
        <v>84784467</v>
      </c>
      <c r="J110" s="418"/>
      <c r="K110" s="496"/>
    </row>
    <row r="111" spans="1:11">
      <c r="A111" s="3"/>
      <c r="B111" s="4" t="s">
        <v>19</v>
      </c>
      <c r="C111" s="4" t="s">
        <v>103</v>
      </c>
      <c r="D111" s="410" t="s">
        <v>104</v>
      </c>
      <c r="E111" s="411">
        <v>15100058.65</v>
      </c>
      <c r="F111" s="411">
        <f>'Wykonanie 8 2025'!H78</f>
        <v>15100057.65</v>
      </c>
      <c r="G111" s="411">
        <f>F111</f>
        <v>15100057.65</v>
      </c>
      <c r="H111" s="411">
        <v>14919264</v>
      </c>
      <c r="I111" s="411">
        <f>H111</f>
        <v>14919264</v>
      </c>
      <c r="K111" s="496"/>
    </row>
    <row r="112" spans="1:11">
      <c r="A112" s="368">
        <v>758</v>
      </c>
      <c r="B112" s="405"/>
      <c r="C112" s="406"/>
      <c r="D112" s="407" t="s">
        <v>105</v>
      </c>
      <c r="E112" s="408">
        <f>E113+E116+E125+E127</f>
        <v>20136442.809999999</v>
      </c>
      <c r="F112" s="408">
        <f t="shared" ref="F112:I112" si="38">F113+F116+F125+F127</f>
        <v>22352606.609999999</v>
      </c>
      <c r="G112" s="408">
        <f t="shared" si="38"/>
        <v>18865641.41</v>
      </c>
      <c r="H112" s="408">
        <f t="shared" si="38"/>
        <v>25074339</v>
      </c>
      <c r="I112" s="408">
        <f t="shared" si="38"/>
        <v>25674339</v>
      </c>
      <c r="J112" s="418"/>
      <c r="K112" s="496"/>
    </row>
    <row r="113" spans="1:10">
      <c r="A113" s="3"/>
      <c r="B113" s="409">
        <v>75802</v>
      </c>
      <c r="C113" s="414"/>
      <c r="D113" s="415" t="s">
        <v>717</v>
      </c>
      <c r="E113" s="416">
        <f>E114+E115</f>
        <v>19536442.809999999</v>
      </c>
      <c r="F113" s="416">
        <f t="shared" ref="F113:I113" si="39">F114+F115</f>
        <v>0</v>
      </c>
      <c r="G113" s="416">
        <f t="shared" si="39"/>
        <v>0</v>
      </c>
      <c r="H113" s="416">
        <f t="shared" si="39"/>
        <v>0</v>
      </c>
      <c r="I113" s="416">
        <f t="shared" si="39"/>
        <v>0</v>
      </c>
    </row>
    <row r="114" spans="1:10">
      <c r="A114" s="3"/>
      <c r="B114" s="409" t="s">
        <v>19</v>
      </c>
      <c r="C114" s="4" t="s">
        <v>783</v>
      </c>
      <c r="D114" s="410" t="s">
        <v>784</v>
      </c>
      <c r="E114" s="412">
        <v>670801.4</v>
      </c>
      <c r="F114" s="412">
        <v>0</v>
      </c>
      <c r="G114" s="412">
        <v>0</v>
      </c>
      <c r="H114" s="412">
        <v>0</v>
      </c>
      <c r="I114" s="412">
        <v>0</v>
      </c>
    </row>
    <row r="115" spans="1:10">
      <c r="A115" s="3"/>
      <c r="B115" s="4" t="s">
        <v>19</v>
      </c>
      <c r="C115" s="4" t="s">
        <v>106</v>
      </c>
      <c r="D115" s="410" t="s">
        <v>107</v>
      </c>
      <c r="E115" s="520">
        <v>18865641.41</v>
      </c>
      <c r="F115" s="520">
        <v>0</v>
      </c>
      <c r="G115" s="411">
        <v>0</v>
      </c>
      <c r="H115" s="520">
        <v>0</v>
      </c>
      <c r="I115" s="520">
        <v>0</v>
      </c>
    </row>
    <row r="116" spans="1:10">
      <c r="A116" s="3"/>
      <c r="B116" s="409" t="s">
        <v>108</v>
      </c>
      <c r="C116" s="414"/>
      <c r="D116" s="415" t="s">
        <v>109</v>
      </c>
      <c r="E116" s="416">
        <f>E118</f>
        <v>600000</v>
      </c>
      <c r="F116" s="416">
        <f>F118+F120+F124</f>
        <v>2241677.7999999998</v>
      </c>
      <c r="G116" s="416">
        <v>0</v>
      </c>
      <c r="H116" s="416">
        <f t="shared" ref="H116:I116" si="40">H118+H120+H124</f>
        <v>0</v>
      </c>
      <c r="I116" s="416">
        <f t="shared" si="40"/>
        <v>600000</v>
      </c>
    </row>
    <row r="117" spans="1:10">
      <c r="A117" s="3"/>
      <c r="B117" s="4" t="s">
        <v>19</v>
      </c>
      <c r="C117" s="4" t="s">
        <v>47</v>
      </c>
      <c r="D117" s="410" t="s">
        <v>48</v>
      </c>
      <c r="E117" s="412">
        <v>0</v>
      </c>
      <c r="F117" s="412">
        <f>'[1]budżet 31.08.2022'!H90</f>
        <v>0</v>
      </c>
      <c r="G117" s="412">
        <v>16</v>
      </c>
      <c r="H117" s="412">
        <v>0</v>
      </c>
      <c r="I117" s="412">
        <v>0</v>
      </c>
    </row>
    <row r="118" spans="1:10">
      <c r="A118" s="3"/>
      <c r="B118" s="4" t="s">
        <v>19</v>
      </c>
      <c r="C118" s="4" t="s">
        <v>40</v>
      </c>
      <c r="D118" s="410" t="s">
        <v>41</v>
      </c>
      <c r="E118" s="411">
        <v>600000</v>
      </c>
      <c r="F118" s="520">
        <v>1013914</v>
      </c>
      <c r="G118" s="411">
        <v>0</v>
      </c>
      <c r="H118" s="520">
        <v>0</v>
      </c>
      <c r="I118" s="411">
        <v>600000</v>
      </c>
    </row>
    <row r="119" spans="1:10">
      <c r="A119" s="3"/>
      <c r="B119" s="4" t="s">
        <v>19</v>
      </c>
      <c r="C119" s="4" t="s">
        <v>25</v>
      </c>
      <c r="D119" s="410" t="s">
        <v>26</v>
      </c>
      <c r="E119" s="411">
        <v>0</v>
      </c>
      <c r="F119" s="411">
        <v>0</v>
      </c>
      <c r="G119" s="411">
        <v>0</v>
      </c>
      <c r="H119" s="411">
        <v>0</v>
      </c>
      <c r="I119" s="411">
        <f>H119</f>
        <v>0</v>
      </c>
    </row>
    <row r="120" spans="1:10" ht="25.5">
      <c r="A120" s="3"/>
      <c r="B120" s="4" t="s">
        <v>19</v>
      </c>
      <c r="C120" s="4" t="s">
        <v>650</v>
      </c>
      <c r="D120" s="410" t="s">
        <v>718</v>
      </c>
      <c r="E120" s="411">
        <v>0</v>
      </c>
      <c r="F120" s="411">
        <v>1030963</v>
      </c>
      <c r="G120" s="411">
        <v>0</v>
      </c>
      <c r="H120" s="411">
        <v>0</v>
      </c>
      <c r="I120" s="411">
        <v>0</v>
      </c>
    </row>
    <row r="121" spans="1:10" ht="25.5">
      <c r="A121" s="3"/>
      <c r="B121" s="4" t="s">
        <v>19</v>
      </c>
      <c r="C121" s="4" t="s">
        <v>68</v>
      </c>
      <c r="D121" s="410" t="s">
        <v>69</v>
      </c>
      <c r="E121" s="411">
        <v>0</v>
      </c>
      <c r="F121" s="411">
        <v>0</v>
      </c>
      <c r="G121" s="411">
        <v>0</v>
      </c>
      <c r="H121" s="411">
        <v>0</v>
      </c>
      <c r="I121" s="411">
        <f>H121</f>
        <v>0</v>
      </c>
    </row>
    <row r="122" spans="1:10">
      <c r="A122" s="3"/>
      <c r="B122" s="4" t="s">
        <v>19</v>
      </c>
      <c r="C122" s="4" t="s">
        <v>106</v>
      </c>
      <c r="D122" s="410" t="s">
        <v>107</v>
      </c>
      <c r="E122" s="411">
        <v>0</v>
      </c>
      <c r="F122" s="411">
        <v>0</v>
      </c>
      <c r="G122" s="411">
        <v>0</v>
      </c>
      <c r="H122" s="411">
        <v>0</v>
      </c>
      <c r="I122" s="411">
        <v>0</v>
      </c>
    </row>
    <row r="123" spans="1:10">
      <c r="A123" s="3"/>
      <c r="B123" s="4" t="s">
        <v>19</v>
      </c>
      <c r="C123" s="4" t="s">
        <v>110</v>
      </c>
      <c r="D123" s="410" t="s">
        <v>111</v>
      </c>
      <c r="E123" s="411">
        <v>0</v>
      </c>
      <c r="F123" s="411">
        <v>0</v>
      </c>
      <c r="G123" s="411">
        <v>0</v>
      </c>
      <c r="H123" s="411">
        <v>0</v>
      </c>
      <c r="I123" s="411">
        <f>H123</f>
        <v>0</v>
      </c>
    </row>
    <row r="124" spans="1:10">
      <c r="A124" s="3"/>
      <c r="B124" s="4" t="s">
        <v>19</v>
      </c>
      <c r="C124" s="4" t="s">
        <v>112</v>
      </c>
      <c r="D124" s="410" t="s">
        <v>111</v>
      </c>
      <c r="E124" s="411">
        <v>0</v>
      </c>
      <c r="F124" s="411">
        <f>'Wykonanie 8 2025'!H105</f>
        <v>196800.8</v>
      </c>
      <c r="G124" s="411">
        <v>0</v>
      </c>
      <c r="H124" s="411">
        <v>0</v>
      </c>
      <c r="I124" s="411">
        <v>0</v>
      </c>
    </row>
    <row r="125" spans="1:10">
      <c r="A125" s="3"/>
      <c r="B125" s="409">
        <v>75834</v>
      </c>
      <c r="C125" s="414"/>
      <c r="D125" s="415" t="s">
        <v>113</v>
      </c>
      <c r="E125" s="416">
        <v>0</v>
      </c>
      <c r="F125" s="416">
        <f>'Wykonanie 8 2025'!H107</f>
        <v>18865641.41</v>
      </c>
      <c r="G125" s="416">
        <f>G126</f>
        <v>18865641.41</v>
      </c>
      <c r="H125" s="416">
        <f t="shared" ref="H125:I125" si="41">H126</f>
        <v>25074339</v>
      </c>
      <c r="I125" s="416">
        <f t="shared" si="41"/>
        <v>25074339</v>
      </c>
    </row>
    <row r="126" spans="1:10">
      <c r="A126" s="3"/>
      <c r="B126" s="428" t="s">
        <v>19</v>
      </c>
      <c r="C126" s="428" t="s">
        <v>106</v>
      </c>
      <c r="D126" s="521" t="s">
        <v>107</v>
      </c>
      <c r="E126" s="411">
        <v>0</v>
      </c>
      <c r="F126" s="520">
        <f>'Wykonanie 8 2025'!H107</f>
        <v>18865641.41</v>
      </c>
      <c r="G126" s="520">
        <f>F126</f>
        <v>18865641.41</v>
      </c>
      <c r="H126" s="520">
        <v>25074339</v>
      </c>
      <c r="I126" s="411">
        <f>H126</f>
        <v>25074339</v>
      </c>
      <c r="J126" s="418"/>
    </row>
    <row r="127" spans="1:10">
      <c r="A127" s="3"/>
      <c r="B127" s="409">
        <v>75835</v>
      </c>
      <c r="C127" s="414"/>
      <c r="D127" s="415" t="s">
        <v>113</v>
      </c>
      <c r="E127" s="416">
        <f t="shared" ref="E127" si="42">I127</f>
        <v>0</v>
      </c>
      <c r="F127" s="416">
        <f>F128</f>
        <v>1245287.3999999999</v>
      </c>
      <c r="G127" s="416">
        <v>0</v>
      </c>
      <c r="H127" s="416">
        <f t="shared" ref="H127:I127" si="43">H128</f>
        <v>0</v>
      </c>
      <c r="I127" s="416">
        <f t="shared" si="43"/>
        <v>0</v>
      </c>
    </row>
    <row r="128" spans="1:10">
      <c r="A128" s="3"/>
      <c r="B128" s="428" t="s">
        <v>19</v>
      </c>
      <c r="C128" s="428" t="s">
        <v>783</v>
      </c>
      <c r="D128" s="410" t="s">
        <v>784</v>
      </c>
      <c r="E128" s="411">
        <v>0</v>
      </c>
      <c r="F128" s="520">
        <v>1245287.3999999999</v>
      </c>
      <c r="G128" s="520">
        <v>0</v>
      </c>
      <c r="H128" s="520">
        <v>0</v>
      </c>
      <c r="I128" s="411">
        <f>H128</f>
        <v>0</v>
      </c>
      <c r="J128" s="418"/>
    </row>
    <row r="129" spans="1:9">
      <c r="A129" s="370">
        <v>801</v>
      </c>
      <c r="B129" s="405"/>
      <c r="C129" s="406"/>
      <c r="D129" s="407" t="s">
        <v>114</v>
      </c>
      <c r="E129" s="408">
        <f>E130+E144+E173+E194+E222+E230+E232+E235</f>
        <v>1308338</v>
      </c>
      <c r="F129" s="408">
        <f t="shared" ref="F129:I129" si="44">F130+F144+F173+F194+F222+F230+F232+F235</f>
        <v>2203193.39</v>
      </c>
      <c r="G129" s="408">
        <f t="shared" si="44"/>
        <v>1513190.13</v>
      </c>
      <c r="H129" s="408">
        <f t="shared" si="44"/>
        <v>2829898.23</v>
      </c>
      <c r="I129" s="408">
        <f t="shared" si="44"/>
        <v>2876793.23</v>
      </c>
    </row>
    <row r="130" spans="1:9">
      <c r="A130" s="4"/>
      <c r="B130" s="409">
        <v>80102</v>
      </c>
      <c r="C130" s="414"/>
      <c r="D130" s="415" t="s">
        <v>115</v>
      </c>
      <c r="E130" s="416">
        <f>E133</f>
        <v>28000</v>
      </c>
      <c r="F130" s="416">
        <f>F131+F133+F135+F137+F139+F141+F143</f>
        <v>28000</v>
      </c>
      <c r="G130" s="416">
        <f t="shared" ref="G130:I130" si="45">G131+G133+G135+G137+G139+G141+G143</f>
        <v>18585.810000000001</v>
      </c>
      <c r="H130" s="416">
        <f t="shared" si="45"/>
        <v>31320</v>
      </c>
      <c r="I130" s="416">
        <f t="shared" si="45"/>
        <v>31320</v>
      </c>
    </row>
    <row r="131" spans="1:9" ht="25.5">
      <c r="A131" s="4"/>
      <c r="B131" s="4" t="s">
        <v>19</v>
      </c>
      <c r="C131" s="4" t="s">
        <v>92</v>
      </c>
      <c r="D131" s="429" t="s">
        <v>93</v>
      </c>
      <c r="E131" s="411">
        <v>0</v>
      </c>
      <c r="F131" s="411">
        <f t="shared" ref="F131:I131" si="46">F132</f>
        <v>0</v>
      </c>
      <c r="G131" s="411">
        <f t="shared" si="46"/>
        <v>44</v>
      </c>
      <c r="H131" s="411">
        <f t="shared" si="46"/>
        <v>0</v>
      </c>
      <c r="I131" s="411">
        <f t="shared" si="46"/>
        <v>0</v>
      </c>
    </row>
    <row r="132" spans="1:9">
      <c r="A132" s="4"/>
      <c r="B132" s="430"/>
      <c r="C132" s="431"/>
      <c r="D132" s="432" t="s">
        <v>116</v>
      </c>
      <c r="E132" s="433">
        <f t="shared" ref="E132:E146" si="47">I132</f>
        <v>0</v>
      </c>
      <c r="F132" s="433">
        <f>'[1]budżet 31.08.2022'!I113</f>
        <v>0</v>
      </c>
      <c r="G132" s="433">
        <f>'Wykonanie 8 2025'!J109</f>
        <v>44</v>
      </c>
      <c r="H132" s="433">
        <v>0</v>
      </c>
      <c r="I132" s="433">
        <f>H132</f>
        <v>0</v>
      </c>
    </row>
    <row r="133" spans="1:9" ht="38.25">
      <c r="A133" s="4"/>
      <c r="B133" s="4" t="s">
        <v>19</v>
      </c>
      <c r="C133" s="4" t="s">
        <v>36</v>
      </c>
      <c r="D133" s="410" t="s">
        <v>37</v>
      </c>
      <c r="E133" s="411">
        <v>28000</v>
      </c>
      <c r="F133" s="411">
        <f t="shared" ref="F133:I133" si="48">F134</f>
        <v>28000</v>
      </c>
      <c r="G133" s="411">
        <f t="shared" si="48"/>
        <v>18529.91</v>
      </c>
      <c r="H133" s="411">
        <f t="shared" si="48"/>
        <v>31320</v>
      </c>
      <c r="I133" s="411">
        <f t="shared" si="48"/>
        <v>31320</v>
      </c>
    </row>
    <row r="134" spans="1:9">
      <c r="A134" s="4"/>
      <c r="B134" s="430"/>
      <c r="C134" s="431"/>
      <c r="D134" s="432" t="s">
        <v>116</v>
      </c>
      <c r="E134" s="433">
        <v>28000</v>
      </c>
      <c r="F134" s="433">
        <f>'Wykonanie 8 2025'!H110</f>
        <v>28000</v>
      </c>
      <c r="G134" s="433">
        <v>18529.91</v>
      </c>
      <c r="H134" s="433">
        <v>31320</v>
      </c>
      <c r="I134" s="433">
        <v>31320</v>
      </c>
    </row>
    <row r="135" spans="1:9">
      <c r="A135" s="4"/>
      <c r="B135" s="4" t="s">
        <v>19</v>
      </c>
      <c r="C135" s="4" t="s">
        <v>40</v>
      </c>
      <c r="D135" s="410" t="s">
        <v>117</v>
      </c>
      <c r="E135" s="411">
        <v>0</v>
      </c>
      <c r="F135" s="411">
        <f>F136</f>
        <v>0</v>
      </c>
      <c r="G135" s="411">
        <f>G136</f>
        <v>11.9</v>
      </c>
      <c r="H135" s="411">
        <v>0</v>
      </c>
      <c r="I135" s="411">
        <v>0</v>
      </c>
    </row>
    <row r="136" spans="1:9">
      <c r="A136" s="4"/>
      <c r="B136" s="430"/>
      <c r="C136" s="431"/>
      <c r="D136" s="432" t="s">
        <v>116</v>
      </c>
      <c r="E136" s="433">
        <f t="shared" si="47"/>
        <v>0</v>
      </c>
      <c r="F136" s="433">
        <f>'[1]budżet 31.08.2022'!H115</f>
        <v>0</v>
      </c>
      <c r="G136" s="433">
        <f>'Wykonanie 8 2025'!J111</f>
        <v>11.9</v>
      </c>
      <c r="H136" s="433">
        <v>0</v>
      </c>
      <c r="I136" s="433">
        <f>H136</f>
        <v>0</v>
      </c>
    </row>
    <row r="137" spans="1:9">
      <c r="A137" s="4"/>
      <c r="B137" s="4" t="s">
        <v>19</v>
      </c>
      <c r="C137" s="4" t="s">
        <v>42</v>
      </c>
      <c r="D137" s="410" t="s">
        <v>719</v>
      </c>
      <c r="E137" s="411">
        <v>0</v>
      </c>
      <c r="F137" s="411">
        <f t="shared" ref="F137:I137" si="49">F138</f>
        <v>0</v>
      </c>
      <c r="G137" s="411">
        <f t="shared" si="49"/>
        <v>0</v>
      </c>
      <c r="H137" s="411">
        <f t="shared" si="49"/>
        <v>0</v>
      </c>
      <c r="I137" s="411">
        <f t="shared" si="49"/>
        <v>0</v>
      </c>
    </row>
    <row r="138" spans="1:9">
      <c r="A138" s="4"/>
      <c r="B138" s="430"/>
      <c r="C138" s="431"/>
      <c r="D138" s="432" t="s">
        <v>116</v>
      </c>
      <c r="E138" s="433">
        <f t="shared" si="47"/>
        <v>0</v>
      </c>
      <c r="F138" s="433">
        <v>0</v>
      </c>
      <c r="G138" s="433">
        <v>0</v>
      </c>
      <c r="H138" s="433">
        <v>0</v>
      </c>
      <c r="I138" s="433">
        <f>H138</f>
        <v>0</v>
      </c>
    </row>
    <row r="139" spans="1:9">
      <c r="A139" s="4"/>
      <c r="B139" s="4" t="s">
        <v>19</v>
      </c>
      <c r="C139" s="4" t="s">
        <v>58</v>
      </c>
      <c r="D139" s="410" t="s">
        <v>59</v>
      </c>
      <c r="E139" s="411">
        <v>0</v>
      </c>
      <c r="F139" s="411">
        <v>0</v>
      </c>
      <c r="G139" s="411">
        <v>0</v>
      </c>
      <c r="H139" s="411">
        <v>0</v>
      </c>
      <c r="I139" s="411">
        <v>0</v>
      </c>
    </row>
    <row r="140" spans="1:9">
      <c r="A140" s="4"/>
      <c r="B140" s="430"/>
      <c r="C140" s="431"/>
      <c r="D140" s="432" t="s">
        <v>116</v>
      </c>
      <c r="E140" s="433">
        <f t="shared" si="47"/>
        <v>0</v>
      </c>
      <c r="F140" s="433">
        <v>0</v>
      </c>
      <c r="G140" s="433">
        <v>0</v>
      </c>
      <c r="H140" s="433">
        <v>0</v>
      </c>
      <c r="I140" s="433">
        <f>H140</f>
        <v>0</v>
      </c>
    </row>
    <row r="141" spans="1:9">
      <c r="A141" s="4"/>
      <c r="B141" s="4" t="s">
        <v>19</v>
      </c>
      <c r="C141" s="4" t="s">
        <v>25</v>
      </c>
      <c r="D141" s="410" t="s">
        <v>26</v>
      </c>
      <c r="E141" s="411">
        <v>0</v>
      </c>
      <c r="F141" s="411">
        <v>0</v>
      </c>
      <c r="G141" s="411">
        <v>0</v>
      </c>
      <c r="H141" s="411">
        <v>0</v>
      </c>
      <c r="I141" s="411">
        <v>0</v>
      </c>
    </row>
    <row r="142" spans="1:9">
      <c r="A142" s="4"/>
      <c r="B142" s="430"/>
      <c r="C142" s="431"/>
      <c r="D142" s="432" t="s">
        <v>116</v>
      </c>
      <c r="E142" s="433">
        <f t="shared" si="47"/>
        <v>0</v>
      </c>
      <c r="F142" s="433">
        <v>0</v>
      </c>
      <c r="G142" s="433">
        <v>0</v>
      </c>
      <c r="H142" s="433">
        <v>0</v>
      </c>
      <c r="I142" s="433">
        <f>H142</f>
        <v>0</v>
      </c>
    </row>
    <row r="143" spans="1:9" ht="15" customHeight="1">
      <c r="A143" s="4"/>
      <c r="B143" s="4" t="s">
        <v>19</v>
      </c>
      <c r="C143" s="4" t="s">
        <v>118</v>
      </c>
      <c r="D143" s="410" t="s">
        <v>119</v>
      </c>
      <c r="E143" s="411">
        <v>0</v>
      </c>
      <c r="F143" s="411">
        <v>0</v>
      </c>
      <c r="G143" s="411">
        <v>0</v>
      </c>
      <c r="H143" s="411">
        <v>0</v>
      </c>
      <c r="I143" s="411">
        <f>H143</f>
        <v>0</v>
      </c>
    </row>
    <row r="144" spans="1:9">
      <c r="A144" s="4"/>
      <c r="B144" s="434" t="s">
        <v>120</v>
      </c>
      <c r="C144" s="435"/>
      <c r="D144" s="436" t="s">
        <v>121</v>
      </c>
      <c r="E144" s="416">
        <f>E151+E154+E169</f>
        <v>56216</v>
      </c>
      <c r="F144" s="416">
        <f t="shared" ref="F144:I144" si="50">F145+F148+F151+F154+F157+F159+F162+F165+F167+F169+F172</f>
        <v>56216</v>
      </c>
      <c r="G144" s="416">
        <f t="shared" si="50"/>
        <v>84884.9</v>
      </c>
      <c r="H144" s="416">
        <f t="shared" si="50"/>
        <v>65535</v>
      </c>
      <c r="I144" s="416">
        <f t="shared" si="50"/>
        <v>88000</v>
      </c>
    </row>
    <row r="145" spans="1:9" ht="32.25" customHeight="1">
      <c r="A145" s="4"/>
      <c r="B145" s="409" t="s">
        <v>19</v>
      </c>
      <c r="C145" s="437" t="s">
        <v>92</v>
      </c>
      <c r="D145" s="438" t="s">
        <v>93</v>
      </c>
      <c r="E145" s="411">
        <v>0</v>
      </c>
      <c r="F145" s="411">
        <f t="shared" ref="F145:I145" si="51">F146+F147</f>
        <v>0</v>
      </c>
      <c r="G145" s="411">
        <f t="shared" si="51"/>
        <v>780</v>
      </c>
      <c r="H145" s="411">
        <f t="shared" si="51"/>
        <v>0</v>
      </c>
      <c r="I145" s="411">
        <f t="shared" si="51"/>
        <v>0</v>
      </c>
    </row>
    <row r="146" spans="1:9">
      <c r="A146" s="4"/>
      <c r="B146" s="409"/>
      <c r="C146" s="431"/>
      <c r="D146" s="432" t="s">
        <v>122</v>
      </c>
      <c r="E146" s="433">
        <f t="shared" si="47"/>
        <v>0</v>
      </c>
      <c r="F146" s="433">
        <v>0</v>
      </c>
      <c r="G146" s="433">
        <f>'Wykonanie 8 2025'!J112</f>
        <v>208</v>
      </c>
      <c r="H146" s="433">
        <v>0</v>
      </c>
      <c r="I146" s="433">
        <f>H146</f>
        <v>0</v>
      </c>
    </row>
    <row r="147" spans="1:9">
      <c r="A147" s="4"/>
      <c r="B147" s="409"/>
      <c r="C147" s="431"/>
      <c r="D147" s="432" t="s">
        <v>123</v>
      </c>
      <c r="E147" s="433">
        <f t="shared" ref="E147:E209" si="52">I147</f>
        <v>0</v>
      </c>
      <c r="F147" s="433">
        <v>0</v>
      </c>
      <c r="G147" s="433">
        <f>'Wykonanie 8 2025'!J113</f>
        <v>572</v>
      </c>
      <c r="H147" s="433">
        <v>0</v>
      </c>
      <c r="I147" s="433">
        <f>H147</f>
        <v>0</v>
      </c>
    </row>
    <row r="148" spans="1:9">
      <c r="A148" s="4"/>
      <c r="B148" s="4" t="s">
        <v>19</v>
      </c>
      <c r="C148" s="4" t="s">
        <v>47</v>
      </c>
      <c r="D148" s="423" t="s">
        <v>48</v>
      </c>
      <c r="E148" s="411">
        <v>0</v>
      </c>
      <c r="F148" s="411">
        <f t="shared" ref="F148:I148" si="53">F149+F150</f>
        <v>0</v>
      </c>
      <c r="G148" s="411">
        <f t="shared" si="53"/>
        <v>688</v>
      </c>
      <c r="H148" s="411">
        <f t="shared" si="53"/>
        <v>0</v>
      </c>
      <c r="I148" s="411">
        <f t="shared" si="53"/>
        <v>0</v>
      </c>
    </row>
    <row r="149" spans="1:9">
      <c r="A149" s="4"/>
      <c r="B149" s="4"/>
      <c r="C149" s="431"/>
      <c r="D149" s="432" t="s">
        <v>122</v>
      </c>
      <c r="E149" s="433">
        <f t="shared" si="52"/>
        <v>0</v>
      </c>
      <c r="F149" s="433">
        <v>0</v>
      </c>
      <c r="G149" s="433">
        <f>'Wykonanie 8 2025'!J115</f>
        <v>283</v>
      </c>
      <c r="H149" s="433">
        <v>0</v>
      </c>
      <c r="I149" s="433">
        <f>H149</f>
        <v>0</v>
      </c>
    </row>
    <row r="150" spans="1:9">
      <c r="A150" s="4"/>
      <c r="B150" s="4"/>
      <c r="C150" s="431"/>
      <c r="D150" s="432" t="s">
        <v>123</v>
      </c>
      <c r="E150" s="433">
        <f t="shared" si="52"/>
        <v>0</v>
      </c>
      <c r="F150" s="433">
        <v>0</v>
      </c>
      <c r="G150" s="433">
        <f>'Wykonanie 8 2025'!J116</f>
        <v>405</v>
      </c>
      <c r="H150" s="433">
        <v>0</v>
      </c>
      <c r="I150" s="433">
        <f>H150</f>
        <v>0</v>
      </c>
    </row>
    <row r="151" spans="1:9" ht="38.25">
      <c r="A151" s="4"/>
      <c r="B151" s="4" t="s">
        <v>19</v>
      </c>
      <c r="C151" s="4" t="s">
        <v>36</v>
      </c>
      <c r="D151" s="410" t="s">
        <v>37</v>
      </c>
      <c r="E151" s="411">
        <v>49116</v>
      </c>
      <c r="F151" s="411">
        <f t="shared" ref="F151:I151" si="54">F152+F153</f>
        <v>49116</v>
      </c>
      <c r="G151" s="411">
        <f t="shared" si="54"/>
        <v>69887.69</v>
      </c>
      <c r="H151" s="411">
        <f t="shared" si="54"/>
        <v>59835</v>
      </c>
      <c r="I151" s="411">
        <f t="shared" si="54"/>
        <v>75000</v>
      </c>
    </row>
    <row r="152" spans="1:9">
      <c r="A152" s="4"/>
      <c r="B152" s="4"/>
      <c r="C152" s="431"/>
      <c r="D152" s="432" t="s">
        <v>122</v>
      </c>
      <c r="E152" s="433">
        <v>35316</v>
      </c>
      <c r="F152" s="433">
        <f>'Wykonanie 8 2025'!H117</f>
        <v>35316</v>
      </c>
      <c r="G152" s="433">
        <v>49887.69</v>
      </c>
      <c r="H152" s="433">
        <v>43335</v>
      </c>
      <c r="I152" s="433">
        <v>50000</v>
      </c>
    </row>
    <row r="153" spans="1:9">
      <c r="A153" s="4"/>
      <c r="B153" s="4"/>
      <c r="C153" s="431"/>
      <c r="D153" s="432" t="s">
        <v>123</v>
      </c>
      <c r="E153" s="433">
        <v>13800</v>
      </c>
      <c r="F153" s="433">
        <f>'Wykonanie 8 2025'!H118</f>
        <v>13800</v>
      </c>
      <c r="G153" s="433">
        <v>20000</v>
      </c>
      <c r="H153" s="433">
        <v>16500</v>
      </c>
      <c r="I153" s="433">
        <v>25000</v>
      </c>
    </row>
    <row r="154" spans="1:9">
      <c r="A154" s="4"/>
      <c r="B154" s="4" t="s">
        <v>19</v>
      </c>
      <c r="C154" s="4" t="s">
        <v>124</v>
      </c>
      <c r="D154" s="410" t="s">
        <v>125</v>
      </c>
      <c r="E154" s="411">
        <v>4000</v>
      </c>
      <c r="F154" s="411">
        <f t="shared" ref="F154:I154" si="55">F155+F156</f>
        <v>4000</v>
      </c>
      <c r="G154" s="411">
        <f t="shared" si="55"/>
        <v>5950.38</v>
      </c>
      <c r="H154" s="411">
        <f t="shared" si="55"/>
        <v>2200</v>
      </c>
      <c r="I154" s="411">
        <f t="shared" si="55"/>
        <v>7000</v>
      </c>
    </row>
    <row r="155" spans="1:9">
      <c r="A155" s="4"/>
      <c r="B155" s="4"/>
      <c r="C155" s="431"/>
      <c r="D155" s="432" t="s">
        <v>122</v>
      </c>
      <c r="E155" s="433">
        <v>4000</v>
      </c>
      <c r="F155" s="433">
        <f>'Wykonanie 8 2025'!H119</f>
        <v>4000</v>
      </c>
      <c r="G155" s="433">
        <v>5950.38</v>
      </c>
      <c r="H155" s="433">
        <v>2200</v>
      </c>
      <c r="I155" s="433">
        <v>7000</v>
      </c>
    </row>
    <row r="156" spans="1:9">
      <c r="A156" s="4"/>
      <c r="B156" s="4"/>
      <c r="C156" s="431"/>
      <c r="D156" s="432" t="s">
        <v>123</v>
      </c>
      <c r="E156" s="433">
        <f t="shared" si="52"/>
        <v>0</v>
      </c>
      <c r="F156" s="433">
        <f>'[1]budżet 31.08.2022'!H122</f>
        <v>0</v>
      </c>
      <c r="G156" s="433">
        <v>0</v>
      </c>
      <c r="H156" s="433">
        <v>0</v>
      </c>
      <c r="I156" s="433">
        <f>H156</f>
        <v>0</v>
      </c>
    </row>
    <row r="157" spans="1:9" ht="15.75" customHeight="1">
      <c r="A157" s="4"/>
      <c r="B157" s="13" t="s">
        <v>19</v>
      </c>
      <c r="C157" s="439" t="s">
        <v>22</v>
      </c>
      <c r="D157" s="440" t="s">
        <v>720</v>
      </c>
      <c r="E157" s="422">
        <v>0</v>
      </c>
      <c r="F157" s="422">
        <f t="shared" ref="F157:I157" si="56">F158</f>
        <v>0</v>
      </c>
      <c r="G157" s="422">
        <f t="shared" si="56"/>
        <v>144</v>
      </c>
      <c r="H157" s="422">
        <f t="shared" si="56"/>
        <v>0</v>
      </c>
      <c r="I157" s="422">
        <f t="shared" si="56"/>
        <v>0</v>
      </c>
    </row>
    <row r="158" spans="1:9">
      <c r="A158" s="4"/>
      <c r="B158" s="4"/>
      <c r="C158" s="431"/>
      <c r="D158" s="432" t="s">
        <v>122</v>
      </c>
      <c r="E158" s="433">
        <f t="shared" si="52"/>
        <v>0</v>
      </c>
      <c r="F158" s="433">
        <v>0</v>
      </c>
      <c r="G158" s="433">
        <f>'Wykonanie 8 2025'!J120</f>
        <v>144</v>
      </c>
      <c r="H158" s="433">
        <v>0</v>
      </c>
      <c r="I158" s="433">
        <f>H158</f>
        <v>0</v>
      </c>
    </row>
    <row r="159" spans="1:9">
      <c r="A159" s="4"/>
      <c r="B159" s="4" t="s">
        <v>19</v>
      </c>
      <c r="C159" s="441" t="s">
        <v>40</v>
      </c>
      <c r="D159" s="419" t="s">
        <v>41</v>
      </c>
      <c r="E159" s="411">
        <v>0</v>
      </c>
      <c r="F159" s="411">
        <f t="shared" ref="F159:I159" si="57">F160+F161</f>
        <v>0</v>
      </c>
      <c r="G159" s="411">
        <f t="shared" si="57"/>
        <v>95.29</v>
      </c>
      <c r="H159" s="411">
        <f t="shared" si="57"/>
        <v>0</v>
      </c>
      <c r="I159" s="411">
        <f t="shared" si="57"/>
        <v>0</v>
      </c>
    </row>
    <row r="160" spans="1:9">
      <c r="A160" s="4"/>
      <c r="B160" s="4"/>
      <c r="C160" s="431"/>
      <c r="D160" s="432" t="s">
        <v>122</v>
      </c>
      <c r="E160" s="433">
        <f t="shared" si="52"/>
        <v>0</v>
      </c>
      <c r="F160" s="433">
        <v>0</v>
      </c>
      <c r="G160" s="433">
        <v>0</v>
      </c>
      <c r="H160" s="433">
        <v>0</v>
      </c>
      <c r="I160" s="433">
        <f>H160</f>
        <v>0</v>
      </c>
    </row>
    <row r="161" spans="1:9">
      <c r="A161" s="4"/>
      <c r="B161" s="4"/>
      <c r="C161" s="431"/>
      <c r="D161" s="432" t="s">
        <v>123</v>
      </c>
      <c r="E161" s="433">
        <f t="shared" si="52"/>
        <v>0</v>
      </c>
      <c r="F161" s="433"/>
      <c r="G161" s="433">
        <f>'Wykonanie 8 2025'!J121</f>
        <v>95.29</v>
      </c>
      <c r="H161" s="433">
        <v>0</v>
      </c>
      <c r="I161" s="433">
        <f>H161</f>
        <v>0</v>
      </c>
    </row>
    <row r="162" spans="1:9">
      <c r="A162" s="4"/>
      <c r="B162" s="4" t="s">
        <v>19</v>
      </c>
      <c r="C162" s="441" t="s">
        <v>42</v>
      </c>
      <c r="D162" s="419" t="s">
        <v>721</v>
      </c>
      <c r="E162" s="411">
        <v>0</v>
      </c>
      <c r="F162" s="411">
        <f t="shared" ref="F162:I162" si="58">F163+F164</f>
        <v>0</v>
      </c>
      <c r="G162" s="411">
        <f t="shared" si="58"/>
        <v>564.54</v>
      </c>
      <c r="H162" s="411">
        <f t="shared" si="58"/>
        <v>0</v>
      </c>
      <c r="I162" s="411">
        <f t="shared" si="58"/>
        <v>0</v>
      </c>
    </row>
    <row r="163" spans="1:9">
      <c r="A163" s="4"/>
      <c r="B163" s="4"/>
      <c r="C163" s="431"/>
      <c r="D163" s="432" t="s">
        <v>122</v>
      </c>
      <c r="E163" s="433">
        <f t="shared" si="52"/>
        <v>0</v>
      </c>
      <c r="F163" s="433">
        <f>'[1]budżet 31.08.2022'!H125</f>
        <v>0</v>
      </c>
      <c r="G163" s="433">
        <f>'Wykonanie 8 2025'!J122</f>
        <v>359.21</v>
      </c>
      <c r="H163" s="433">
        <v>0</v>
      </c>
      <c r="I163" s="433">
        <f>H163</f>
        <v>0</v>
      </c>
    </row>
    <row r="164" spans="1:9">
      <c r="A164" s="4"/>
      <c r="B164" s="4"/>
      <c r="C164" s="431"/>
      <c r="D164" s="432" t="s">
        <v>123</v>
      </c>
      <c r="E164" s="433">
        <f t="shared" si="52"/>
        <v>0</v>
      </c>
      <c r="F164" s="433">
        <f>'[1]budżet 31.08.2022'!H126</f>
        <v>0</v>
      </c>
      <c r="G164" s="433">
        <f>'Wykonanie 8 2025'!J123</f>
        <v>205.33</v>
      </c>
      <c r="H164" s="433">
        <v>0</v>
      </c>
      <c r="I164" s="433">
        <f>H164</f>
        <v>0</v>
      </c>
    </row>
    <row r="165" spans="1:9" ht="16.5" customHeight="1">
      <c r="A165" s="4"/>
      <c r="B165" s="4" t="s">
        <v>19</v>
      </c>
      <c r="C165" s="441" t="s">
        <v>23</v>
      </c>
      <c r="D165" s="419" t="s">
        <v>24</v>
      </c>
      <c r="E165" s="411">
        <v>0</v>
      </c>
      <c r="F165" s="411">
        <f t="shared" ref="F165:I165" si="59">F166</f>
        <v>0</v>
      </c>
      <c r="G165" s="411">
        <f t="shared" si="59"/>
        <v>725</v>
      </c>
      <c r="H165" s="411">
        <f t="shared" si="59"/>
        <v>0</v>
      </c>
      <c r="I165" s="411">
        <f t="shared" si="59"/>
        <v>0</v>
      </c>
    </row>
    <row r="166" spans="1:9">
      <c r="A166" s="4"/>
      <c r="B166" s="4"/>
      <c r="C166" s="431"/>
      <c r="D166" s="432" t="s">
        <v>123</v>
      </c>
      <c r="E166" s="433">
        <f t="shared" si="52"/>
        <v>0</v>
      </c>
      <c r="F166" s="433">
        <v>0</v>
      </c>
      <c r="G166" s="433">
        <f>'Wykonanie 8 2025'!J124</f>
        <v>725</v>
      </c>
      <c r="H166" s="433">
        <v>0</v>
      </c>
      <c r="I166" s="433">
        <f>H166</f>
        <v>0</v>
      </c>
    </row>
    <row r="167" spans="1:9">
      <c r="A167" s="4"/>
      <c r="B167" s="4" t="s">
        <v>19</v>
      </c>
      <c r="C167" s="4" t="s">
        <v>58</v>
      </c>
      <c r="D167" s="410" t="s">
        <v>59</v>
      </c>
      <c r="E167" s="411">
        <v>0</v>
      </c>
      <c r="F167" s="411">
        <f t="shared" ref="F167:I167" si="60">F168</f>
        <v>0</v>
      </c>
      <c r="G167" s="411">
        <f t="shared" si="60"/>
        <v>0</v>
      </c>
      <c r="H167" s="411">
        <f t="shared" si="60"/>
        <v>0</v>
      </c>
      <c r="I167" s="411">
        <f t="shared" si="60"/>
        <v>0</v>
      </c>
    </row>
    <row r="168" spans="1:9">
      <c r="A168" s="4"/>
      <c r="B168" s="4"/>
      <c r="C168" s="431"/>
      <c r="D168" s="432" t="s">
        <v>123</v>
      </c>
      <c r="E168" s="433">
        <f t="shared" si="52"/>
        <v>0</v>
      </c>
      <c r="F168" s="433">
        <v>0</v>
      </c>
      <c r="G168" s="433">
        <v>0</v>
      </c>
      <c r="H168" s="433">
        <v>0</v>
      </c>
      <c r="I168" s="433">
        <f>H168</f>
        <v>0</v>
      </c>
    </row>
    <row r="169" spans="1:9">
      <c r="A169" s="4"/>
      <c r="B169" s="4" t="s">
        <v>19</v>
      </c>
      <c r="C169" s="442" t="s">
        <v>25</v>
      </c>
      <c r="D169" s="443" t="s">
        <v>26</v>
      </c>
      <c r="E169" s="411">
        <v>3100</v>
      </c>
      <c r="F169" s="411">
        <f t="shared" ref="F169:I169" si="61">F170+F171</f>
        <v>3100</v>
      </c>
      <c r="G169" s="411">
        <f t="shared" si="61"/>
        <v>6050</v>
      </c>
      <c r="H169" s="411">
        <f t="shared" si="61"/>
        <v>3500</v>
      </c>
      <c r="I169" s="411">
        <f t="shared" si="61"/>
        <v>6000</v>
      </c>
    </row>
    <row r="170" spans="1:9">
      <c r="A170" s="4"/>
      <c r="B170" s="4"/>
      <c r="C170" s="431"/>
      <c r="D170" s="432" t="s">
        <v>122</v>
      </c>
      <c r="E170" s="433">
        <f t="shared" si="52"/>
        <v>0</v>
      </c>
      <c r="F170" s="433">
        <f>'[1]budżet 31.08.2022'!H127</f>
        <v>0</v>
      </c>
      <c r="G170" s="433">
        <f>'[1]budżet 31.08.2022'!J127</f>
        <v>0</v>
      </c>
      <c r="H170" s="433">
        <v>0</v>
      </c>
      <c r="I170" s="433">
        <f>H170</f>
        <v>0</v>
      </c>
    </row>
    <row r="171" spans="1:9">
      <c r="A171" s="4"/>
      <c r="B171" s="4"/>
      <c r="C171" s="431"/>
      <c r="D171" s="432" t="s">
        <v>123</v>
      </c>
      <c r="E171" s="433">
        <v>3100</v>
      </c>
      <c r="F171" s="433">
        <f>'Wykonanie 8 2025'!H125</f>
        <v>3100</v>
      </c>
      <c r="G171" s="433">
        <v>6050</v>
      </c>
      <c r="H171" s="433">
        <v>3500</v>
      </c>
      <c r="I171" s="433">
        <v>6000</v>
      </c>
    </row>
    <row r="172" spans="1:9" ht="25.5">
      <c r="A172" s="4"/>
      <c r="B172" s="4" t="s">
        <v>19</v>
      </c>
      <c r="C172" s="4" t="s">
        <v>118</v>
      </c>
      <c r="D172" s="410" t="s">
        <v>119</v>
      </c>
      <c r="E172" s="411">
        <v>0</v>
      </c>
      <c r="F172" s="411">
        <v>0</v>
      </c>
      <c r="G172" s="411">
        <v>0</v>
      </c>
      <c r="H172" s="411">
        <v>0</v>
      </c>
      <c r="I172" s="411">
        <v>0</v>
      </c>
    </row>
    <row r="173" spans="1:9">
      <c r="A173" s="4"/>
      <c r="B173" s="434" t="s">
        <v>126</v>
      </c>
      <c r="C173" s="435"/>
      <c r="D173" s="444" t="s">
        <v>127</v>
      </c>
      <c r="E173" s="416">
        <f>E182</f>
        <v>10000</v>
      </c>
      <c r="F173" s="416">
        <f t="shared" ref="F173:I173" si="62">F174+F177+F180+F183+F186+F189+F192+F193</f>
        <v>22000</v>
      </c>
      <c r="G173" s="416">
        <f>G174+G177+G180+G183+G186+G189+G192+G193</f>
        <v>28657.46</v>
      </c>
      <c r="H173" s="416">
        <f t="shared" si="62"/>
        <v>12000</v>
      </c>
      <c r="I173" s="416">
        <f t="shared" si="62"/>
        <v>23000</v>
      </c>
    </row>
    <row r="174" spans="1:9">
      <c r="A174" s="4"/>
      <c r="B174" s="4" t="s">
        <v>19</v>
      </c>
      <c r="C174" s="4" t="s">
        <v>92</v>
      </c>
      <c r="D174" s="423" t="s">
        <v>48</v>
      </c>
      <c r="E174" s="411">
        <v>0</v>
      </c>
      <c r="F174" s="411">
        <f t="shared" ref="F174:I174" si="63">F175+F176</f>
        <v>0</v>
      </c>
      <c r="G174" s="411">
        <f t="shared" si="63"/>
        <v>104</v>
      </c>
      <c r="H174" s="411">
        <f t="shared" si="63"/>
        <v>0</v>
      </c>
      <c r="I174" s="411">
        <f t="shared" si="63"/>
        <v>0</v>
      </c>
    </row>
    <row r="175" spans="1:9">
      <c r="A175" s="4"/>
      <c r="B175" s="4"/>
      <c r="C175" s="431"/>
      <c r="D175" s="432" t="s">
        <v>122</v>
      </c>
      <c r="E175" s="445">
        <f t="shared" si="52"/>
        <v>0</v>
      </c>
      <c r="F175" s="445">
        <v>0</v>
      </c>
      <c r="G175" s="445">
        <v>0</v>
      </c>
      <c r="H175" s="445">
        <v>0</v>
      </c>
      <c r="I175" s="445">
        <f>H175</f>
        <v>0</v>
      </c>
    </row>
    <row r="176" spans="1:9">
      <c r="A176" s="4"/>
      <c r="B176" s="4"/>
      <c r="C176" s="431"/>
      <c r="D176" s="432" t="s">
        <v>123</v>
      </c>
      <c r="E176" s="445">
        <f t="shared" si="52"/>
        <v>0</v>
      </c>
      <c r="F176" s="445">
        <f>'[1]budżet 31.08.2022'!H130</f>
        <v>0</v>
      </c>
      <c r="G176" s="445">
        <f>'Wykonanie 8 2025'!J126</f>
        <v>104</v>
      </c>
      <c r="H176" s="445">
        <v>0</v>
      </c>
      <c r="I176" s="445">
        <f>H176</f>
        <v>0</v>
      </c>
    </row>
    <row r="177" spans="1:9">
      <c r="A177" s="4"/>
      <c r="B177" s="4" t="s">
        <v>19</v>
      </c>
      <c r="C177" s="4" t="s">
        <v>47</v>
      </c>
      <c r="D177" s="423" t="s">
        <v>48</v>
      </c>
      <c r="E177" s="411">
        <v>0</v>
      </c>
      <c r="F177" s="411">
        <f t="shared" ref="F177:I177" si="64">F178+F179</f>
        <v>0</v>
      </c>
      <c r="G177" s="411">
        <f t="shared" si="64"/>
        <v>318.5</v>
      </c>
      <c r="H177" s="411">
        <f t="shared" si="64"/>
        <v>0</v>
      </c>
      <c r="I177" s="411">
        <f t="shared" si="64"/>
        <v>0</v>
      </c>
    </row>
    <row r="178" spans="1:9">
      <c r="A178" s="4"/>
      <c r="B178" s="4"/>
      <c r="C178" s="431"/>
      <c r="D178" s="432" t="s">
        <v>122</v>
      </c>
      <c r="E178" s="445">
        <f t="shared" si="52"/>
        <v>0</v>
      </c>
      <c r="F178" s="445">
        <v>0</v>
      </c>
      <c r="G178" s="445">
        <v>0</v>
      </c>
      <c r="H178" s="445">
        <v>0</v>
      </c>
      <c r="I178" s="445">
        <f>H178</f>
        <v>0</v>
      </c>
    </row>
    <row r="179" spans="1:9">
      <c r="A179" s="4"/>
      <c r="B179" s="4"/>
      <c r="C179" s="431"/>
      <c r="D179" s="432" t="s">
        <v>123</v>
      </c>
      <c r="E179" s="445">
        <f t="shared" si="52"/>
        <v>0</v>
      </c>
      <c r="F179" s="445">
        <f>'[1]budżet 31.08.2022'!H131</f>
        <v>0</v>
      </c>
      <c r="G179" s="445">
        <f>'Wykonanie 8 2025'!J127</f>
        <v>318.5</v>
      </c>
      <c r="H179" s="445">
        <v>0</v>
      </c>
      <c r="I179" s="445">
        <f>H179</f>
        <v>0</v>
      </c>
    </row>
    <row r="180" spans="1:9" ht="38.25">
      <c r="A180" s="4"/>
      <c r="B180" s="4" t="s">
        <v>19</v>
      </c>
      <c r="C180" s="4" t="s">
        <v>36</v>
      </c>
      <c r="D180" s="410" t="s">
        <v>37</v>
      </c>
      <c r="E180" s="411">
        <v>0</v>
      </c>
      <c r="F180" s="411">
        <f t="shared" ref="F180:I180" si="65">F181+F182</f>
        <v>10000</v>
      </c>
      <c r="G180" s="411">
        <f t="shared" si="65"/>
        <v>16000</v>
      </c>
      <c r="H180" s="411">
        <f t="shared" si="65"/>
        <v>12000</v>
      </c>
      <c r="I180" s="411">
        <f t="shared" si="65"/>
        <v>23000</v>
      </c>
    </row>
    <row r="181" spans="1:9">
      <c r="A181" s="4"/>
      <c r="B181" s="4"/>
      <c r="C181" s="431"/>
      <c r="D181" s="432" t="s">
        <v>122</v>
      </c>
      <c r="E181" s="445">
        <f t="shared" si="52"/>
        <v>0</v>
      </c>
      <c r="F181" s="445">
        <v>0</v>
      </c>
      <c r="G181" s="445">
        <v>0</v>
      </c>
      <c r="H181" s="445">
        <v>0</v>
      </c>
      <c r="I181" s="445">
        <f>H181</f>
        <v>0</v>
      </c>
    </row>
    <row r="182" spans="1:9">
      <c r="A182" s="4"/>
      <c r="B182" s="4"/>
      <c r="C182" s="431"/>
      <c r="D182" s="432" t="s">
        <v>123</v>
      </c>
      <c r="E182" s="445">
        <v>10000</v>
      </c>
      <c r="F182" s="445">
        <f>'Wykonanie 8 2025'!H128</f>
        <v>10000</v>
      </c>
      <c r="G182" s="445">
        <v>16000</v>
      </c>
      <c r="H182" s="445">
        <v>12000</v>
      </c>
      <c r="I182" s="445">
        <v>23000</v>
      </c>
    </row>
    <row r="183" spans="1:9">
      <c r="A183" s="4"/>
      <c r="B183" s="4" t="s">
        <v>19</v>
      </c>
      <c r="C183" s="441" t="s">
        <v>40</v>
      </c>
      <c r="D183" s="419" t="s">
        <v>41</v>
      </c>
      <c r="E183" s="411">
        <v>0</v>
      </c>
      <c r="F183" s="411">
        <f t="shared" ref="F183:I183" si="66">F184+F185</f>
        <v>0</v>
      </c>
      <c r="G183" s="411"/>
      <c r="H183" s="411">
        <f t="shared" si="66"/>
        <v>0</v>
      </c>
      <c r="I183" s="411">
        <f t="shared" si="66"/>
        <v>0</v>
      </c>
    </row>
    <row r="184" spans="1:9">
      <c r="A184" s="4"/>
      <c r="B184" s="4"/>
      <c r="C184" s="431"/>
      <c r="D184" s="432" t="s">
        <v>122</v>
      </c>
      <c r="E184" s="445">
        <f t="shared" si="52"/>
        <v>0</v>
      </c>
      <c r="F184" s="445">
        <v>0</v>
      </c>
      <c r="G184" s="445">
        <v>0</v>
      </c>
      <c r="H184" s="445">
        <v>0</v>
      </c>
      <c r="I184" s="445">
        <f>H184</f>
        <v>0</v>
      </c>
    </row>
    <row r="185" spans="1:9">
      <c r="A185" s="4"/>
      <c r="B185" s="4"/>
      <c r="C185" s="431"/>
      <c r="D185" s="432" t="s">
        <v>123</v>
      </c>
      <c r="E185" s="445">
        <f t="shared" si="52"/>
        <v>0</v>
      </c>
      <c r="F185" s="445">
        <f>'[1]budżet 31.08.2022'!H133</f>
        <v>0</v>
      </c>
      <c r="G185" s="445">
        <f>'Wykonanie 8 2025'!J129</f>
        <v>87.47</v>
      </c>
      <c r="H185" s="445">
        <v>0</v>
      </c>
      <c r="I185" s="445">
        <f>H185</f>
        <v>0</v>
      </c>
    </row>
    <row r="186" spans="1:9" ht="18" customHeight="1">
      <c r="A186" s="4"/>
      <c r="B186" s="4" t="s">
        <v>19</v>
      </c>
      <c r="C186" s="441" t="s">
        <v>23</v>
      </c>
      <c r="D186" s="419" t="s">
        <v>24</v>
      </c>
      <c r="E186" s="411">
        <v>0</v>
      </c>
      <c r="F186" s="411">
        <f t="shared" ref="F186:I186" si="67">F187+F188</f>
        <v>0</v>
      </c>
      <c r="G186" s="411">
        <f t="shared" si="67"/>
        <v>0</v>
      </c>
      <c r="H186" s="411">
        <f t="shared" si="67"/>
        <v>0</v>
      </c>
      <c r="I186" s="411">
        <f t="shared" si="67"/>
        <v>0</v>
      </c>
    </row>
    <row r="187" spans="1:9">
      <c r="A187" s="4"/>
      <c r="B187" s="4"/>
      <c r="C187" s="431"/>
      <c r="D187" s="432" t="s">
        <v>122</v>
      </c>
      <c r="E187" s="445">
        <f t="shared" si="52"/>
        <v>0</v>
      </c>
      <c r="F187" s="445">
        <v>0</v>
      </c>
      <c r="G187" s="445">
        <v>0</v>
      </c>
      <c r="H187" s="445">
        <v>0</v>
      </c>
      <c r="I187" s="445">
        <f>H187</f>
        <v>0</v>
      </c>
    </row>
    <row r="188" spans="1:9">
      <c r="A188" s="4"/>
      <c r="B188" s="4"/>
      <c r="C188" s="431"/>
      <c r="D188" s="432" t="s">
        <v>123</v>
      </c>
      <c r="E188" s="445">
        <f t="shared" si="52"/>
        <v>0</v>
      </c>
      <c r="F188" s="445">
        <v>0</v>
      </c>
      <c r="G188" s="445">
        <v>0</v>
      </c>
      <c r="H188" s="445">
        <v>0</v>
      </c>
      <c r="I188" s="445">
        <f>H188</f>
        <v>0</v>
      </c>
    </row>
    <row r="189" spans="1:9">
      <c r="A189" s="4"/>
      <c r="B189" s="4" t="s">
        <v>19</v>
      </c>
      <c r="C189" s="442" t="s">
        <v>25</v>
      </c>
      <c r="D189" s="443" t="s">
        <v>26</v>
      </c>
      <c r="E189" s="411">
        <v>0</v>
      </c>
      <c r="F189" s="411">
        <f t="shared" ref="F189:I189" si="68">F190+F191</f>
        <v>0</v>
      </c>
      <c r="G189" s="411">
        <f t="shared" si="68"/>
        <v>234.96</v>
      </c>
      <c r="H189" s="411">
        <f t="shared" si="68"/>
        <v>0</v>
      </c>
      <c r="I189" s="411">
        <f t="shared" si="68"/>
        <v>0</v>
      </c>
    </row>
    <row r="190" spans="1:9">
      <c r="A190" s="4"/>
      <c r="B190" s="4"/>
      <c r="C190" s="431"/>
      <c r="D190" s="432" t="s">
        <v>122</v>
      </c>
      <c r="E190" s="445">
        <f t="shared" si="52"/>
        <v>0</v>
      </c>
      <c r="F190" s="445">
        <v>0</v>
      </c>
      <c r="G190" s="445">
        <v>0</v>
      </c>
      <c r="H190" s="445">
        <v>0</v>
      </c>
      <c r="I190" s="445">
        <f>H190</f>
        <v>0</v>
      </c>
    </row>
    <row r="191" spans="1:9">
      <c r="A191" s="4"/>
      <c r="B191" s="4"/>
      <c r="C191" s="431"/>
      <c r="D191" s="432" t="s">
        <v>123</v>
      </c>
      <c r="E191" s="445">
        <f t="shared" si="52"/>
        <v>0</v>
      </c>
      <c r="F191" s="445">
        <f>'[1]budżet 31.08.2022'!H134</f>
        <v>0</v>
      </c>
      <c r="G191" s="445">
        <f>'Wykonanie 8 2025'!J130</f>
        <v>234.96</v>
      </c>
      <c r="H191" s="445">
        <v>0</v>
      </c>
      <c r="I191" s="445">
        <f>H191</f>
        <v>0</v>
      </c>
    </row>
    <row r="192" spans="1:9" ht="18.75" customHeight="1">
      <c r="A192" s="4"/>
      <c r="B192" s="4" t="s">
        <v>19</v>
      </c>
      <c r="C192" s="4" t="s">
        <v>118</v>
      </c>
      <c r="D192" s="410" t="s">
        <v>128</v>
      </c>
      <c r="E192" s="411">
        <v>0</v>
      </c>
      <c r="F192" s="411">
        <f>'Wykonanie 8 2025'!H131</f>
        <v>12000</v>
      </c>
      <c r="G192" s="411">
        <f>F192</f>
        <v>12000</v>
      </c>
      <c r="H192" s="411">
        <v>0</v>
      </c>
      <c r="I192" s="411">
        <v>0</v>
      </c>
    </row>
    <row r="193" spans="1:9" ht="25.5">
      <c r="A193" s="4"/>
      <c r="B193" s="4" t="s">
        <v>19</v>
      </c>
      <c r="C193" s="4" t="s">
        <v>131</v>
      </c>
      <c r="D193" s="410" t="s">
        <v>722</v>
      </c>
      <c r="E193" s="411">
        <v>0</v>
      </c>
      <c r="F193" s="411">
        <f>'[1]budżet 31.08.2022'!H135</f>
        <v>0</v>
      </c>
      <c r="G193" s="411">
        <v>0</v>
      </c>
      <c r="H193" s="411">
        <v>0</v>
      </c>
      <c r="I193" s="411">
        <v>0</v>
      </c>
    </row>
    <row r="194" spans="1:9">
      <c r="A194" s="4"/>
      <c r="B194" s="531">
        <v>80120</v>
      </c>
      <c r="C194" s="532"/>
      <c r="D194" s="533" t="s">
        <v>129</v>
      </c>
      <c r="E194" s="534">
        <f>E195+E198+E201+E204+E207+E210+E213+E216+E219+E220+E221</f>
        <v>39350</v>
      </c>
      <c r="F194" s="534">
        <f t="shared" ref="F194:I194" si="69">F195+F198+F201+F204+F207+F210+F213+F216+F221+F219+F220</f>
        <v>63350</v>
      </c>
      <c r="G194" s="534">
        <f t="shared" si="69"/>
        <v>79728.33</v>
      </c>
      <c r="H194" s="534">
        <f t="shared" si="69"/>
        <v>28317</v>
      </c>
      <c r="I194" s="534">
        <f t="shared" si="69"/>
        <v>41747</v>
      </c>
    </row>
    <row r="195" spans="1:9" ht="30.75" customHeight="1">
      <c r="A195" s="4"/>
      <c r="B195" s="409" t="s">
        <v>19</v>
      </c>
      <c r="C195" s="437" t="s">
        <v>92</v>
      </c>
      <c r="D195" s="438" t="s">
        <v>93</v>
      </c>
      <c r="E195" s="411">
        <v>260</v>
      </c>
      <c r="F195" s="411">
        <f t="shared" ref="F195:I195" si="70">F196+F197</f>
        <v>260</v>
      </c>
      <c r="G195" s="411">
        <f t="shared" si="70"/>
        <v>910</v>
      </c>
      <c r="H195" s="411">
        <f t="shared" si="70"/>
        <v>312</v>
      </c>
      <c r="I195" s="411">
        <f t="shared" si="70"/>
        <v>612</v>
      </c>
    </row>
    <row r="196" spans="1:9">
      <c r="A196" s="4"/>
      <c r="B196" s="409"/>
      <c r="C196" s="431"/>
      <c r="D196" s="432" t="s">
        <v>130</v>
      </c>
      <c r="E196" s="433">
        <v>260</v>
      </c>
      <c r="F196" s="433">
        <f>'Wykonanie 8 2025'!H132</f>
        <v>260</v>
      </c>
      <c r="G196" s="433">
        <v>546</v>
      </c>
      <c r="H196" s="433">
        <v>312</v>
      </c>
      <c r="I196" s="433">
        <v>312</v>
      </c>
    </row>
    <row r="197" spans="1:9">
      <c r="A197" s="4"/>
      <c r="B197" s="409"/>
      <c r="C197" s="431"/>
      <c r="D197" s="432" t="s">
        <v>123</v>
      </c>
      <c r="E197" s="433">
        <f t="shared" si="52"/>
        <v>300</v>
      </c>
      <c r="F197" s="433">
        <f>'[1]budżet 31.08.2022'!H137</f>
        <v>0</v>
      </c>
      <c r="G197" s="433">
        <f>'Wykonanie 8 2025'!J133</f>
        <v>364</v>
      </c>
      <c r="H197" s="433">
        <v>0</v>
      </c>
      <c r="I197" s="433">
        <v>300</v>
      </c>
    </row>
    <row r="198" spans="1:9">
      <c r="A198" s="4"/>
      <c r="B198" s="4" t="s">
        <v>19</v>
      </c>
      <c r="C198" s="4" t="s">
        <v>47</v>
      </c>
      <c r="D198" s="423" t="s">
        <v>48</v>
      </c>
      <c r="E198" s="411">
        <v>90</v>
      </c>
      <c r="F198" s="411">
        <f t="shared" ref="F198:I198" si="71">F199+F200</f>
        <v>90</v>
      </c>
      <c r="G198" s="411"/>
      <c r="H198" s="411">
        <f t="shared" si="71"/>
        <v>135</v>
      </c>
      <c r="I198" s="411">
        <f t="shared" si="71"/>
        <v>135</v>
      </c>
    </row>
    <row r="199" spans="1:9">
      <c r="A199" s="4"/>
      <c r="B199" s="4"/>
      <c r="C199" s="431"/>
      <c r="D199" s="432" t="s">
        <v>130</v>
      </c>
      <c r="E199" s="433">
        <v>90</v>
      </c>
      <c r="F199" s="433">
        <f>'Wykonanie 8 2025'!H134</f>
        <v>90</v>
      </c>
      <c r="G199" s="433">
        <v>198</v>
      </c>
      <c r="H199" s="433">
        <v>135</v>
      </c>
      <c r="I199" s="433">
        <v>135</v>
      </c>
    </row>
    <row r="200" spans="1:9">
      <c r="A200" s="4"/>
      <c r="B200" s="4"/>
      <c r="C200" s="431"/>
      <c r="D200" s="432" t="s">
        <v>123</v>
      </c>
      <c r="E200" s="433">
        <f t="shared" si="52"/>
        <v>0</v>
      </c>
      <c r="F200" s="433">
        <f>'[1]budżet 31.08.2022'!H140</f>
        <v>0</v>
      </c>
      <c r="G200" s="433">
        <f>'Wykonanie 8 2025'!J135</f>
        <v>27</v>
      </c>
      <c r="H200" s="433">
        <v>0</v>
      </c>
      <c r="I200" s="433">
        <f>H200</f>
        <v>0</v>
      </c>
    </row>
    <row r="201" spans="1:9" ht="38.25">
      <c r="A201" s="4"/>
      <c r="B201" s="4" t="s">
        <v>19</v>
      </c>
      <c r="C201" s="4" t="s">
        <v>36</v>
      </c>
      <c r="D201" s="410" t="s">
        <v>37</v>
      </c>
      <c r="E201" s="411">
        <v>39000</v>
      </c>
      <c r="F201" s="411">
        <f t="shared" ref="F201:I201" si="72">F202+F203</f>
        <v>39000</v>
      </c>
      <c r="G201" s="411">
        <f t="shared" si="72"/>
        <v>39686</v>
      </c>
      <c r="H201" s="411">
        <f t="shared" si="72"/>
        <v>27870</v>
      </c>
      <c r="I201" s="411">
        <f t="shared" si="72"/>
        <v>41000</v>
      </c>
    </row>
    <row r="202" spans="1:9">
      <c r="A202" s="4"/>
      <c r="B202" s="4"/>
      <c r="C202" s="431"/>
      <c r="D202" s="432" t="s">
        <v>130</v>
      </c>
      <c r="E202" s="433">
        <v>17000</v>
      </c>
      <c r="F202" s="433">
        <f>'Wykonanie 8 2025'!H136</f>
        <v>17000</v>
      </c>
      <c r="G202" s="433">
        <v>11086</v>
      </c>
      <c r="H202" s="433">
        <v>5870</v>
      </c>
      <c r="I202" s="433">
        <v>6000</v>
      </c>
    </row>
    <row r="203" spans="1:9">
      <c r="A203" s="4"/>
      <c r="B203" s="4"/>
      <c r="C203" s="431"/>
      <c r="D203" s="432" t="s">
        <v>123</v>
      </c>
      <c r="E203" s="433">
        <v>22000</v>
      </c>
      <c r="F203" s="433">
        <f>'Wykonanie 8 2025'!H137</f>
        <v>22000</v>
      </c>
      <c r="G203" s="433">
        <v>28600</v>
      </c>
      <c r="H203" s="433">
        <v>22000</v>
      </c>
      <c r="I203" s="433">
        <v>35000</v>
      </c>
    </row>
    <row r="204" spans="1:9">
      <c r="A204" s="4"/>
      <c r="B204" s="4" t="s">
        <v>19</v>
      </c>
      <c r="C204" s="441" t="s">
        <v>40</v>
      </c>
      <c r="D204" s="419" t="s">
        <v>41</v>
      </c>
      <c r="E204" s="411">
        <v>0</v>
      </c>
      <c r="F204" s="411">
        <f t="shared" ref="F204:I204" si="73">F205+F206</f>
        <v>0</v>
      </c>
      <c r="G204" s="411">
        <f t="shared" si="73"/>
        <v>0</v>
      </c>
      <c r="H204" s="411">
        <f t="shared" si="73"/>
        <v>0</v>
      </c>
      <c r="I204" s="411">
        <f t="shared" si="73"/>
        <v>0</v>
      </c>
    </row>
    <row r="205" spans="1:9">
      <c r="A205" s="4"/>
      <c r="B205" s="4"/>
      <c r="C205" s="431"/>
      <c r="D205" s="432" t="s">
        <v>130</v>
      </c>
      <c r="E205" s="433">
        <f t="shared" si="52"/>
        <v>0</v>
      </c>
      <c r="F205" s="433">
        <v>0</v>
      </c>
      <c r="G205" s="433">
        <v>0</v>
      </c>
      <c r="H205" s="433">
        <v>0</v>
      </c>
      <c r="I205" s="433">
        <f>H205</f>
        <v>0</v>
      </c>
    </row>
    <row r="206" spans="1:9">
      <c r="A206" s="4"/>
      <c r="B206" s="4"/>
      <c r="C206" s="431"/>
      <c r="D206" s="432" t="s">
        <v>123</v>
      </c>
      <c r="E206" s="433">
        <f t="shared" si="52"/>
        <v>0</v>
      </c>
      <c r="F206" s="433">
        <f>'[1]budżet 31.08.2022'!H143</f>
        <v>0</v>
      </c>
      <c r="G206" s="433"/>
      <c r="H206" s="433">
        <v>0</v>
      </c>
      <c r="I206" s="433">
        <f>H206</f>
        <v>0</v>
      </c>
    </row>
    <row r="207" spans="1:9">
      <c r="A207" s="4"/>
      <c r="B207" s="4" t="s">
        <v>19</v>
      </c>
      <c r="C207" s="4" t="s">
        <v>42</v>
      </c>
      <c r="D207" s="410" t="s">
        <v>43</v>
      </c>
      <c r="E207" s="411">
        <v>0</v>
      </c>
      <c r="F207" s="411">
        <f t="shared" ref="F207:I207" si="74">F208+F209</f>
        <v>0</v>
      </c>
      <c r="G207" s="411">
        <f t="shared" si="74"/>
        <v>205.33</v>
      </c>
      <c r="H207" s="411">
        <f t="shared" si="74"/>
        <v>0</v>
      </c>
      <c r="I207" s="411">
        <f t="shared" si="74"/>
        <v>0</v>
      </c>
    </row>
    <row r="208" spans="1:9">
      <c r="A208" s="4"/>
      <c r="B208" s="4"/>
      <c r="C208" s="431"/>
      <c r="D208" s="432" t="s">
        <v>130</v>
      </c>
      <c r="E208" s="433">
        <f t="shared" si="52"/>
        <v>0</v>
      </c>
      <c r="F208" s="433">
        <v>0</v>
      </c>
      <c r="G208" s="433">
        <v>0</v>
      </c>
      <c r="H208" s="433">
        <v>0</v>
      </c>
      <c r="I208" s="433">
        <f>H208</f>
        <v>0</v>
      </c>
    </row>
    <row r="209" spans="1:9">
      <c r="A209" s="4"/>
      <c r="B209" s="4"/>
      <c r="C209" s="431"/>
      <c r="D209" s="432" t="s">
        <v>123</v>
      </c>
      <c r="E209" s="433">
        <f t="shared" si="52"/>
        <v>0</v>
      </c>
      <c r="F209" s="433">
        <v>0</v>
      </c>
      <c r="G209" s="433">
        <v>205.33</v>
      </c>
      <c r="H209" s="433">
        <v>0</v>
      </c>
      <c r="I209" s="433">
        <f>H209</f>
        <v>0</v>
      </c>
    </row>
    <row r="210" spans="1:9" ht="18.75" customHeight="1">
      <c r="A210" s="4"/>
      <c r="B210" s="4" t="s">
        <v>19</v>
      </c>
      <c r="C210" s="441" t="s">
        <v>23</v>
      </c>
      <c r="D210" s="419" t="s">
        <v>24</v>
      </c>
      <c r="E210" s="411">
        <v>0</v>
      </c>
      <c r="F210" s="411">
        <f t="shared" ref="F210:I210" si="75">F211+F212</f>
        <v>0</v>
      </c>
      <c r="G210" s="411">
        <f t="shared" si="75"/>
        <v>9000</v>
      </c>
      <c r="H210" s="411">
        <f t="shared" si="75"/>
        <v>0</v>
      </c>
      <c r="I210" s="411">
        <f t="shared" si="75"/>
        <v>0</v>
      </c>
    </row>
    <row r="211" spans="1:9">
      <c r="A211" s="4"/>
      <c r="B211" s="4"/>
      <c r="C211" s="431"/>
      <c r="D211" s="432" t="s">
        <v>130</v>
      </c>
      <c r="E211" s="433">
        <f t="shared" ref="E211:E261" si="76">I211</f>
        <v>0</v>
      </c>
      <c r="F211" s="433">
        <v>0</v>
      </c>
      <c r="G211" s="433">
        <v>9000</v>
      </c>
      <c r="H211" s="433">
        <v>0</v>
      </c>
      <c r="I211" s="433">
        <f>H211</f>
        <v>0</v>
      </c>
    </row>
    <row r="212" spans="1:9">
      <c r="A212" s="4"/>
      <c r="B212" s="4"/>
      <c r="C212" s="431"/>
      <c r="D212" s="432" t="s">
        <v>123</v>
      </c>
      <c r="E212" s="433">
        <f t="shared" si="76"/>
        <v>0</v>
      </c>
      <c r="F212" s="433">
        <v>0</v>
      </c>
      <c r="G212" s="433">
        <v>0</v>
      </c>
      <c r="H212" s="433">
        <v>0</v>
      </c>
      <c r="I212" s="433">
        <f>H212</f>
        <v>0</v>
      </c>
    </row>
    <row r="213" spans="1:9">
      <c r="A213" s="4"/>
      <c r="B213" s="4" t="s">
        <v>19</v>
      </c>
      <c r="C213" s="441" t="s">
        <v>58</v>
      </c>
      <c r="D213" s="410" t="s">
        <v>59</v>
      </c>
      <c r="E213" s="411">
        <v>0</v>
      </c>
      <c r="F213" s="411">
        <f t="shared" ref="F213:I213" si="77">F214+F215</f>
        <v>0</v>
      </c>
      <c r="G213" s="411">
        <f t="shared" si="77"/>
        <v>0</v>
      </c>
      <c r="H213" s="411">
        <f t="shared" si="77"/>
        <v>0</v>
      </c>
      <c r="I213" s="411">
        <f t="shared" si="77"/>
        <v>0</v>
      </c>
    </row>
    <row r="214" spans="1:9">
      <c r="A214" s="4"/>
      <c r="B214" s="4"/>
      <c r="C214" s="431"/>
      <c r="D214" s="432" t="s">
        <v>130</v>
      </c>
      <c r="E214" s="433">
        <f t="shared" si="76"/>
        <v>0</v>
      </c>
      <c r="F214" s="433">
        <v>0</v>
      </c>
      <c r="G214" s="433">
        <v>0</v>
      </c>
      <c r="H214" s="433">
        <v>0</v>
      </c>
      <c r="I214" s="433">
        <f>H214</f>
        <v>0</v>
      </c>
    </row>
    <row r="215" spans="1:9">
      <c r="A215" s="4"/>
      <c r="B215" s="4"/>
      <c r="C215" s="431"/>
      <c r="D215" s="432" t="s">
        <v>123</v>
      </c>
      <c r="E215" s="433">
        <f t="shared" si="76"/>
        <v>0</v>
      </c>
      <c r="F215" s="433">
        <v>0</v>
      </c>
      <c r="G215" s="433">
        <v>0</v>
      </c>
      <c r="H215" s="433">
        <v>0</v>
      </c>
      <c r="I215" s="433">
        <f>H215</f>
        <v>0</v>
      </c>
    </row>
    <row r="216" spans="1:9">
      <c r="A216" s="4"/>
      <c r="B216" s="4" t="s">
        <v>19</v>
      </c>
      <c r="C216" s="441" t="s">
        <v>25</v>
      </c>
      <c r="D216" s="419" t="s">
        <v>26</v>
      </c>
      <c r="E216" s="411">
        <v>0</v>
      </c>
      <c r="F216" s="411">
        <f>F217+F218</f>
        <v>0</v>
      </c>
      <c r="G216" s="411">
        <f>G217+G218</f>
        <v>5927</v>
      </c>
      <c r="H216" s="411">
        <f>H217+H218</f>
        <v>0</v>
      </c>
      <c r="I216" s="411">
        <f>I217+I218</f>
        <v>0</v>
      </c>
    </row>
    <row r="217" spans="1:9">
      <c r="A217" s="4"/>
      <c r="B217" s="4"/>
      <c r="C217" s="431"/>
      <c r="D217" s="432" t="s">
        <v>130</v>
      </c>
      <c r="E217" s="433">
        <f t="shared" si="76"/>
        <v>0</v>
      </c>
      <c r="F217" s="433">
        <v>0</v>
      </c>
      <c r="G217" s="433">
        <v>213.52</v>
      </c>
      <c r="H217" s="433">
        <v>0</v>
      </c>
      <c r="I217" s="433">
        <f>H217</f>
        <v>0</v>
      </c>
    </row>
    <row r="218" spans="1:9">
      <c r="A218" s="4"/>
      <c r="B218" s="4"/>
      <c r="C218" s="431"/>
      <c r="D218" s="432" t="s">
        <v>123</v>
      </c>
      <c r="E218" s="433">
        <f t="shared" si="76"/>
        <v>0</v>
      </c>
      <c r="F218" s="433">
        <f>'[1]budżet 31.08.2022'!H144</f>
        <v>0</v>
      </c>
      <c r="G218" s="433">
        <f>'Wykonanie 8 2025'!J141</f>
        <v>5713.48</v>
      </c>
      <c r="H218" s="433">
        <v>0</v>
      </c>
      <c r="I218" s="433">
        <f>H218</f>
        <v>0</v>
      </c>
    </row>
    <row r="219" spans="1:9" ht="25.5">
      <c r="A219" s="4"/>
      <c r="B219" s="4" t="s">
        <v>19</v>
      </c>
      <c r="C219" s="4" t="s">
        <v>118</v>
      </c>
      <c r="D219" s="410" t="s">
        <v>119</v>
      </c>
      <c r="E219" s="411">
        <v>0</v>
      </c>
      <c r="F219" s="411">
        <f>'Wykonanie 8 2025'!H143</f>
        <v>24000</v>
      </c>
      <c r="G219" s="411">
        <f>F219</f>
        <v>24000</v>
      </c>
      <c r="H219" s="411">
        <v>0</v>
      </c>
      <c r="I219" s="411">
        <f>H219</f>
        <v>0</v>
      </c>
    </row>
    <row r="220" spans="1:9" ht="51">
      <c r="A220" s="4"/>
      <c r="B220" s="4" t="s">
        <v>19</v>
      </c>
      <c r="C220" s="4" t="s">
        <v>131</v>
      </c>
      <c r="D220" s="423" t="s">
        <v>132</v>
      </c>
      <c r="E220" s="411">
        <v>0</v>
      </c>
      <c r="F220" s="411">
        <v>0</v>
      </c>
      <c r="G220" s="411">
        <v>0</v>
      </c>
      <c r="H220" s="411">
        <v>0</v>
      </c>
      <c r="I220" s="411">
        <v>0</v>
      </c>
    </row>
    <row r="221" spans="1:9" ht="38.25">
      <c r="A221" s="4"/>
      <c r="B221" s="13" t="s">
        <v>19</v>
      </c>
      <c r="C221" s="13" t="s">
        <v>133</v>
      </c>
      <c r="D221" s="421" t="s">
        <v>134</v>
      </c>
      <c r="E221" s="422">
        <v>0</v>
      </c>
      <c r="F221" s="422">
        <v>0</v>
      </c>
      <c r="G221" s="422">
        <v>0</v>
      </c>
      <c r="H221" s="422">
        <v>0</v>
      </c>
      <c r="I221" s="422">
        <f>H221</f>
        <v>0</v>
      </c>
    </row>
    <row r="222" spans="1:9">
      <c r="A222" s="4"/>
      <c r="B222" s="409">
        <v>80132</v>
      </c>
      <c r="C222" s="414"/>
      <c r="D222" s="415" t="s">
        <v>135</v>
      </c>
      <c r="E222" s="416">
        <f>E226</f>
        <v>28000</v>
      </c>
      <c r="F222" s="416">
        <f t="shared" ref="F222:I222" si="78">F223+F225+F227+F229</f>
        <v>28000</v>
      </c>
      <c r="G222" s="416">
        <f t="shared" si="78"/>
        <v>28000</v>
      </c>
      <c r="H222" s="416">
        <f t="shared" si="78"/>
        <v>28000</v>
      </c>
      <c r="I222" s="416">
        <f t="shared" si="78"/>
        <v>28000</v>
      </c>
    </row>
    <row r="223" spans="1:9" ht="38.25">
      <c r="A223" s="4"/>
      <c r="B223" s="4" t="s">
        <v>19</v>
      </c>
      <c r="C223" s="4" t="s">
        <v>36</v>
      </c>
      <c r="D223" s="410" t="s">
        <v>37</v>
      </c>
      <c r="E223" s="411">
        <v>0</v>
      </c>
      <c r="F223" s="411">
        <f t="shared" ref="F223:I223" si="79">F224</f>
        <v>0</v>
      </c>
      <c r="G223" s="411">
        <f t="shared" si="79"/>
        <v>0</v>
      </c>
      <c r="H223" s="411">
        <f t="shared" si="79"/>
        <v>0</v>
      </c>
      <c r="I223" s="411">
        <f t="shared" si="79"/>
        <v>0</v>
      </c>
    </row>
    <row r="224" spans="1:9">
      <c r="A224" s="4"/>
      <c r="B224" s="4"/>
      <c r="C224" s="431"/>
      <c r="D224" s="432" t="s">
        <v>136</v>
      </c>
      <c r="E224" s="433">
        <f t="shared" si="76"/>
        <v>0</v>
      </c>
      <c r="F224" s="433">
        <v>0</v>
      </c>
      <c r="G224" s="433">
        <v>0</v>
      </c>
      <c r="H224" s="433">
        <v>0</v>
      </c>
      <c r="I224" s="433">
        <f>H224</f>
        <v>0</v>
      </c>
    </row>
    <row r="225" spans="1:12">
      <c r="A225" s="4"/>
      <c r="B225" s="4" t="s">
        <v>19</v>
      </c>
      <c r="C225" s="4" t="s">
        <v>124</v>
      </c>
      <c r="D225" s="410" t="s">
        <v>125</v>
      </c>
      <c r="E225" s="411">
        <v>28000</v>
      </c>
      <c r="F225" s="411">
        <f t="shared" ref="F225:I225" si="80">F226</f>
        <v>28000</v>
      </c>
      <c r="G225" s="411">
        <f t="shared" si="80"/>
        <v>28000</v>
      </c>
      <c r="H225" s="411">
        <f t="shared" si="80"/>
        <v>28000</v>
      </c>
      <c r="I225" s="411">
        <f t="shared" si="80"/>
        <v>28000</v>
      </c>
    </row>
    <row r="226" spans="1:12">
      <c r="A226" s="4"/>
      <c r="B226" s="4"/>
      <c r="C226" s="431"/>
      <c r="D226" s="432" t="s">
        <v>136</v>
      </c>
      <c r="E226" s="433">
        <v>28000</v>
      </c>
      <c r="F226" s="433">
        <f>'Wykonanie 8 2025'!H144</f>
        <v>28000</v>
      </c>
      <c r="G226" s="433">
        <v>28000</v>
      </c>
      <c r="H226" s="433">
        <v>28000</v>
      </c>
      <c r="I226" s="433">
        <v>28000</v>
      </c>
    </row>
    <row r="227" spans="1:12">
      <c r="A227" s="4"/>
      <c r="B227" s="4" t="s">
        <v>19</v>
      </c>
      <c r="C227" s="4" t="s">
        <v>40</v>
      </c>
      <c r="D227" s="410" t="s">
        <v>41</v>
      </c>
      <c r="E227" s="411">
        <v>0</v>
      </c>
      <c r="F227" s="411">
        <f t="shared" ref="F227:I227" si="81">F228</f>
        <v>0</v>
      </c>
      <c r="G227" s="411">
        <f t="shared" si="81"/>
        <v>0</v>
      </c>
      <c r="H227" s="411">
        <f t="shared" si="81"/>
        <v>0</v>
      </c>
      <c r="I227" s="411">
        <f t="shared" si="81"/>
        <v>0</v>
      </c>
    </row>
    <row r="228" spans="1:12">
      <c r="A228" s="4"/>
      <c r="B228" s="4"/>
      <c r="C228" s="431"/>
      <c r="D228" s="432" t="s">
        <v>136</v>
      </c>
      <c r="E228" s="433">
        <f t="shared" si="76"/>
        <v>0</v>
      </c>
      <c r="F228" s="433">
        <v>0</v>
      </c>
      <c r="G228" s="433">
        <v>0</v>
      </c>
      <c r="H228" s="433">
        <v>0</v>
      </c>
      <c r="I228" s="433">
        <f>H228</f>
        <v>0</v>
      </c>
    </row>
    <row r="229" spans="1:12" ht="25.5">
      <c r="A229" s="4"/>
      <c r="B229" s="4" t="s">
        <v>19</v>
      </c>
      <c r="C229" s="4" t="s">
        <v>118</v>
      </c>
      <c r="D229" s="410" t="s">
        <v>119</v>
      </c>
      <c r="E229" s="411">
        <v>0</v>
      </c>
      <c r="F229" s="411">
        <v>0</v>
      </c>
      <c r="G229" s="411">
        <v>0</v>
      </c>
      <c r="H229" s="411">
        <v>0</v>
      </c>
      <c r="I229" s="411">
        <f>H229</f>
        <v>0</v>
      </c>
    </row>
    <row r="230" spans="1:12">
      <c r="A230" s="4"/>
      <c r="B230" s="409">
        <v>80148</v>
      </c>
      <c r="C230" s="414"/>
      <c r="D230" s="415" t="s">
        <v>137</v>
      </c>
      <c r="E230" s="416">
        <f t="shared" si="76"/>
        <v>0</v>
      </c>
      <c r="F230" s="416">
        <f t="shared" ref="F230:I230" si="82">F231</f>
        <v>0</v>
      </c>
      <c r="G230" s="416">
        <f t="shared" si="82"/>
        <v>0</v>
      </c>
      <c r="H230" s="416">
        <f t="shared" si="82"/>
        <v>0</v>
      </c>
      <c r="I230" s="416">
        <f t="shared" si="82"/>
        <v>0</v>
      </c>
    </row>
    <row r="231" spans="1:12" ht="25.5">
      <c r="A231" s="4"/>
      <c r="B231" s="4" t="s">
        <v>19</v>
      </c>
      <c r="C231" s="4" t="s">
        <v>118</v>
      </c>
      <c r="D231" s="410" t="s">
        <v>119</v>
      </c>
      <c r="E231" s="411">
        <v>0</v>
      </c>
      <c r="F231" s="411">
        <v>0</v>
      </c>
      <c r="G231" s="411">
        <v>0</v>
      </c>
      <c r="H231" s="411">
        <v>0</v>
      </c>
      <c r="I231" s="411">
        <f>H231</f>
        <v>0</v>
      </c>
    </row>
    <row r="232" spans="1:12" ht="38.25">
      <c r="A232" s="4"/>
      <c r="B232" s="409">
        <v>80153</v>
      </c>
      <c r="C232" s="414"/>
      <c r="D232" s="415" t="s">
        <v>138</v>
      </c>
      <c r="E232" s="416">
        <f t="shared" si="76"/>
        <v>0</v>
      </c>
      <c r="F232" s="416">
        <f t="shared" ref="F232:I232" si="83">F233+F234</f>
        <v>40229.769999999997</v>
      </c>
      <c r="G232" s="416">
        <f>G233+G234</f>
        <v>40229.769999999997</v>
      </c>
      <c r="H232" s="416">
        <f t="shared" si="83"/>
        <v>0</v>
      </c>
      <c r="I232" s="416">
        <f t="shared" si="83"/>
        <v>0</v>
      </c>
    </row>
    <row r="233" spans="1:12" ht="25.5">
      <c r="A233" s="4"/>
      <c r="B233" s="4" t="s">
        <v>19</v>
      </c>
      <c r="C233" s="4" t="s">
        <v>650</v>
      </c>
      <c r="D233" s="410" t="s">
        <v>718</v>
      </c>
      <c r="E233" s="411">
        <v>0</v>
      </c>
      <c r="F233" s="411">
        <f>'Wykonanie 8 2025'!H145</f>
        <v>148.5</v>
      </c>
      <c r="G233" s="411">
        <f>F233</f>
        <v>148.5</v>
      </c>
      <c r="H233" s="411">
        <v>0</v>
      </c>
      <c r="I233" s="411">
        <f>H233</f>
        <v>0</v>
      </c>
    </row>
    <row r="234" spans="1:12" ht="38.25">
      <c r="A234" s="4"/>
      <c r="B234" s="4" t="s">
        <v>12</v>
      </c>
      <c r="C234" s="4" t="s">
        <v>13</v>
      </c>
      <c r="D234" s="410" t="s">
        <v>14</v>
      </c>
      <c r="E234" s="411">
        <f t="shared" si="76"/>
        <v>0</v>
      </c>
      <c r="F234" s="411">
        <f>'Wykonanie 8 2025'!H146</f>
        <v>40081.269999999997</v>
      </c>
      <c r="G234" s="411">
        <f>F234</f>
        <v>40081.269999999997</v>
      </c>
      <c r="H234" s="411">
        <v>0</v>
      </c>
      <c r="I234" s="411">
        <f>H234</f>
        <v>0</v>
      </c>
    </row>
    <row r="235" spans="1:12">
      <c r="A235" s="4"/>
      <c r="B235" s="409">
        <v>80195</v>
      </c>
      <c r="C235" s="414"/>
      <c r="D235" s="415" t="s">
        <v>45</v>
      </c>
      <c r="E235" s="416">
        <f>E237+E238+E243+E246+E247+E248+E249</f>
        <v>1146772</v>
      </c>
      <c r="F235" s="416">
        <f t="shared" ref="F235:I235" si="84">F237+F238+F243+F246+F247+F248+F249</f>
        <v>1965397.62</v>
      </c>
      <c r="G235" s="416">
        <f t="shared" si="84"/>
        <v>1233103.8599999999</v>
      </c>
      <c r="H235" s="416">
        <f>H236+H238+H243+H249</f>
        <v>2664726.23</v>
      </c>
      <c r="I235" s="416">
        <f t="shared" si="84"/>
        <v>2664726.23</v>
      </c>
    </row>
    <row r="236" spans="1:12">
      <c r="A236" s="4"/>
      <c r="B236" s="4"/>
      <c r="C236" s="431"/>
      <c r="D236" s="432" t="s">
        <v>122</v>
      </c>
      <c r="E236" s="433">
        <v>400</v>
      </c>
      <c r="F236" s="433">
        <f>'Wykonanie 8 2025'!H147</f>
        <v>400</v>
      </c>
      <c r="G236" s="433">
        <f>'Wykonanie 8 2025'!J147</f>
        <v>540</v>
      </c>
      <c r="H236" s="433">
        <v>700</v>
      </c>
      <c r="I236" s="433"/>
    </row>
    <row r="237" spans="1:12">
      <c r="A237" s="4"/>
      <c r="B237" s="4" t="s">
        <v>19</v>
      </c>
      <c r="C237" s="4" t="s">
        <v>58</v>
      </c>
      <c r="D237" s="410" t="s">
        <v>59</v>
      </c>
      <c r="E237" s="411">
        <v>400</v>
      </c>
      <c r="F237" s="411">
        <f>F236</f>
        <v>400</v>
      </c>
      <c r="G237" s="411">
        <f>G236</f>
        <v>540</v>
      </c>
      <c r="H237" s="411">
        <f>H236</f>
        <v>700</v>
      </c>
      <c r="I237" s="411">
        <v>700</v>
      </c>
    </row>
    <row r="238" spans="1:12" ht="38.25">
      <c r="C238" s="547"/>
      <c r="D238" s="548" t="s">
        <v>788</v>
      </c>
      <c r="E238" s="549">
        <f>E239+E240+E241+E242</f>
        <v>0</v>
      </c>
      <c r="F238" s="549">
        <f t="shared" ref="F238:G238" si="85">F239+F240+F241+F242</f>
        <v>0</v>
      </c>
      <c r="G238" s="549">
        <f t="shared" si="85"/>
        <v>0</v>
      </c>
      <c r="H238" s="549">
        <f>H239+H240+H241+H242</f>
        <v>1517654.23</v>
      </c>
      <c r="I238" s="549">
        <f>I239+I240+I241+I242</f>
        <v>1517654.23</v>
      </c>
      <c r="K238" s="496"/>
    </row>
    <row r="239" spans="1:12" ht="51">
      <c r="A239" s="4"/>
      <c r="B239" s="4" t="s">
        <v>19</v>
      </c>
      <c r="C239" s="4" t="s">
        <v>140</v>
      </c>
      <c r="D239" s="410" t="s">
        <v>139</v>
      </c>
      <c r="E239" s="411">
        <v>0</v>
      </c>
      <c r="F239" s="411">
        <v>0</v>
      </c>
      <c r="G239" s="411">
        <v>0</v>
      </c>
      <c r="H239" s="411">
        <f>'wydatki własne'!I374-'dochody '!H240</f>
        <v>1014181.8099999999</v>
      </c>
      <c r="I239" s="411">
        <v>1014181.81</v>
      </c>
      <c r="K239" s="496"/>
      <c r="L239" s="496"/>
    </row>
    <row r="240" spans="1:12" ht="51">
      <c r="A240" s="4"/>
      <c r="B240" s="4"/>
      <c r="C240" s="4" t="s">
        <v>141</v>
      </c>
      <c r="D240" s="410" t="s">
        <v>139</v>
      </c>
      <c r="E240" s="411">
        <v>0</v>
      </c>
      <c r="F240" s="411">
        <v>0</v>
      </c>
      <c r="G240" s="411">
        <v>0</v>
      </c>
      <c r="H240" s="411">
        <v>47121.88</v>
      </c>
      <c r="I240" s="411">
        <v>47121.88</v>
      </c>
      <c r="J240" s="418"/>
      <c r="K240" s="496"/>
      <c r="L240" s="496"/>
    </row>
    <row r="241" spans="1:11" ht="89.25">
      <c r="A241" s="4"/>
      <c r="B241" s="4"/>
      <c r="C241" s="4" t="s">
        <v>723</v>
      </c>
      <c r="D241" s="410" t="s">
        <v>724</v>
      </c>
      <c r="E241" s="411">
        <v>0</v>
      </c>
      <c r="F241" s="411">
        <v>0</v>
      </c>
      <c r="G241" s="411">
        <v>0</v>
      </c>
      <c r="H241" s="411">
        <f>I241</f>
        <v>436088.58</v>
      </c>
      <c r="I241" s="411">
        <v>436088.58</v>
      </c>
      <c r="K241" s="496"/>
    </row>
    <row r="242" spans="1:11" ht="89.25">
      <c r="A242" s="4"/>
      <c r="B242" s="4"/>
      <c r="C242" s="4" t="s">
        <v>725</v>
      </c>
      <c r="D242" s="410" t="s">
        <v>724</v>
      </c>
      <c r="E242" s="411">
        <v>0</v>
      </c>
      <c r="F242" s="411">
        <v>0</v>
      </c>
      <c r="G242" s="411">
        <v>0</v>
      </c>
      <c r="H242" s="411">
        <v>20261.96</v>
      </c>
      <c r="I242" s="411">
        <v>20261.96</v>
      </c>
    </row>
    <row r="243" spans="1:11" ht="25.5">
      <c r="A243" s="4"/>
      <c r="B243" s="409"/>
      <c r="C243" s="446"/>
      <c r="D243" s="446" t="s">
        <v>748</v>
      </c>
      <c r="E243" s="447">
        <f t="shared" si="76"/>
        <v>803612</v>
      </c>
      <c r="F243" s="447">
        <f>F244+F245</f>
        <v>818169</v>
      </c>
      <c r="G243" s="447">
        <f t="shared" ref="G243:I243" si="86">G244+G245</f>
        <v>818169</v>
      </c>
      <c r="H243" s="447">
        <f t="shared" si="86"/>
        <v>803612</v>
      </c>
      <c r="I243" s="447">
        <f t="shared" si="86"/>
        <v>803612</v>
      </c>
    </row>
    <row r="244" spans="1:11" ht="51">
      <c r="A244" s="4"/>
      <c r="B244" s="409"/>
      <c r="C244" s="4" t="s">
        <v>140</v>
      </c>
      <c r="D244" s="410" t="s">
        <v>139</v>
      </c>
      <c r="E244" s="411">
        <v>0</v>
      </c>
      <c r="F244" s="411">
        <f>'Wykonanie 8 2025'!H148</f>
        <v>451168</v>
      </c>
      <c r="G244" s="411">
        <f>F244</f>
        <v>451168</v>
      </c>
      <c r="H244" s="411">
        <v>803612</v>
      </c>
      <c r="I244" s="411">
        <v>803612</v>
      </c>
    </row>
    <row r="245" spans="1:11" ht="89.25">
      <c r="A245" s="4"/>
      <c r="B245" s="409"/>
      <c r="C245" s="4" t="s">
        <v>723</v>
      </c>
      <c r="D245" s="410" t="s">
        <v>724</v>
      </c>
      <c r="E245" s="411">
        <v>0</v>
      </c>
      <c r="F245" s="411">
        <f>'Wykonanie 8 2025'!H154</f>
        <v>367001</v>
      </c>
      <c r="G245" s="411">
        <f>F245</f>
        <v>367001</v>
      </c>
      <c r="H245" s="411">
        <v>0</v>
      </c>
      <c r="I245" s="411">
        <v>0</v>
      </c>
    </row>
    <row r="246" spans="1:11" ht="25.5">
      <c r="A246" s="4"/>
      <c r="B246" s="409"/>
      <c r="C246" s="446"/>
      <c r="D246" s="446" t="s">
        <v>660</v>
      </c>
      <c r="E246" s="447">
        <f t="shared" si="76"/>
        <v>0</v>
      </c>
      <c r="F246" s="447">
        <f>'Wykonanie 8 2025'!H149</f>
        <v>0</v>
      </c>
      <c r="G246" s="447">
        <f>'Wykonanie 8 2025'!J149</f>
        <v>71634.86</v>
      </c>
      <c r="H246" s="447">
        <v>0</v>
      </c>
      <c r="I246" s="447">
        <v>0</v>
      </c>
    </row>
    <row r="247" spans="1:11">
      <c r="A247" s="4"/>
      <c r="B247" s="409"/>
      <c r="C247" s="446"/>
      <c r="D247" s="446" t="s">
        <v>662</v>
      </c>
      <c r="E247" s="447">
        <f t="shared" si="76"/>
        <v>0</v>
      </c>
      <c r="F247" s="447">
        <f>'Wykonanie 8 2025'!H150</f>
        <v>725641.6</v>
      </c>
      <c r="G247" s="447">
        <v>0</v>
      </c>
      <c r="H247" s="447">
        <v>0</v>
      </c>
      <c r="I247" s="447">
        <v>0</v>
      </c>
    </row>
    <row r="248" spans="1:11" ht="25.5">
      <c r="A248" s="4"/>
      <c r="B248" s="409"/>
      <c r="C248" s="446"/>
      <c r="D248" s="446" t="s">
        <v>750</v>
      </c>
      <c r="E248" s="447">
        <v>0</v>
      </c>
      <c r="F248" s="447">
        <f>'Wykonanie 8 2025'!H151</f>
        <v>78427.02</v>
      </c>
      <c r="G248" s="447">
        <v>0</v>
      </c>
      <c r="H248" s="447">
        <v>0</v>
      </c>
      <c r="I248" s="447">
        <v>0</v>
      </c>
    </row>
    <row r="249" spans="1:11" ht="38.25">
      <c r="A249" s="3"/>
      <c r="B249" s="4" t="s">
        <v>61</v>
      </c>
      <c r="C249" s="4" t="s">
        <v>62</v>
      </c>
      <c r="D249" s="410" t="s">
        <v>142</v>
      </c>
      <c r="E249" s="411">
        <v>342760</v>
      </c>
      <c r="F249" s="411">
        <f>'Wykonanie 8 2025'!H153</f>
        <v>342760</v>
      </c>
      <c r="G249" s="411">
        <f>F249</f>
        <v>342760</v>
      </c>
      <c r="H249" s="411">
        <v>342760</v>
      </c>
      <c r="I249" s="411">
        <f>H249</f>
        <v>342760</v>
      </c>
    </row>
    <row r="250" spans="1:11">
      <c r="A250" s="370">
        <v>851</v>
      </c>
      <c r="B250" s="454"/>
      <c r="C250" s="455"/>
      <c r="D250" s="456" t="s">
        <v>143</v>
      </c>
      <c r="E250" s="457">
        <f>E251+E255+E260</f>
        <v>3277</v>
      </c>
      <c r="F250" s="457">
        <f t="shared" ref="F250:I250" si="87">F251+F255+F260</f>
        <v>96141</v>
      </c>
      <c r="G250" s="457">
        <f t="shared" si="87"/>
        <v>68475.899999999994</v>
      </c>
      <c r="H250" s="457">
        <f t="shared" si="87"/>
        <v>0</v>
      </c>
      <c r="I250" s="457">
        <f t="shared" si="87"/>
        <v>62411</v>
      </c>
    </row>
    <row r="251" spans="1:11">
      <c r="A251" s="3"/>
      <c r="B251" s="409" t="s">
        <v>144</v>
      </c>
      <c r="C251" s="414"/>
      <c r="D251" s="415" t="s">
        <v>145</v>
      </c>
      <c r="E251" s="416">
        <f>E252+E253+E254</f>
        <v>0</v>
      </c>
      <c r="F251" s="416">
        <f t="shared" ref="F251:I251" si="88">F252+F253+F254</f>
        <v>62411</v>
      </c>
      <c r="G251" s="416">
        <f t="shared" si="88"/>
        <v>62437.9</v>
      </c>
      <c r="H251" s="416">
        <f t="shared" si="88"/>
        <v>0</v>
      </c>
      <c r="I251" s="416">
        <f t="shared" si="88"/>
        <v>62411</v>
      </c>
    </row>
    <row r="252" spans="1:11" ht="38.25">
      <c r="A252" s="3"/>
      <c r="B252" s="409" t="s">
        <v>19</v>
      </c>
      <c r="C252" s="4" t="s">
        <v>36</v>
      </c>
      <c r="D252" s="410" t="s">
        <v>37</v>
      </c>
      <c r="E252" s="411">
        <v>0</v>
      </c>
      <c r="F252" s="411">
        <f>'[1]budżet 31.08.2022'!H154</f>
        <v>0</v>
      </c>
      <c r="G252" s="411">
        <f>'Wykonanie 8 2025'!J155</f>
        <v>27.9</v>
      </c>
      <c r="H252" s="411">
        <v>0</v>
      </c>
      <c r="I252" s="411">
        <f>H252</f>
        <v>0</v>
      </c>
    </row>
    <row r="253" spans="1:11">
      <c r="A253" s="3"/>
      <c r="B253" s="409" t="s">
        <v>19</v>
      </c>
      <c r="C253" s="4" t="s">
        <v>162</v>
      </c>
      <c r="D253" s="410"/>
      <c r="E253" s="411">
        <v>0</v>
      </c>
      <c r="F253" s="411">
        <f>'Wykonanie 8 2025'!H156</f>
        <v>14103</v>
      </c>
      <c r="G253" s="411">
        <f>'Wykonanie 8 2025'!J156</f>
        <v>14102.85</v>
      </c>
      <c r="H253" s="411">
        <v>0</v>
      </c>
      <c r="I253" s="411">
        <f>H253</f>
        <v>0</v>
      </c>
    </row>
    <row r="254" spans="1:11">
      <c r="A254" s="3"/>
      <c r="B254" s="458" t="s">
        <v>19</v>
      </c>
      <c r="C254" s="13" t="s">
        <v>133</v>
      </c>
      <c r="D254" s="421"/>
      <c r="E254" s="422">
        <v>0</v>
      </c>
      <c r="F254" s="422">
        <f>'Wykonanie 8 2025'!H157</f>
        <v>48308</v>
      </c>
      <c r="G254" s="422">
        <f>'Wykonanie 8 2025'!J157</f>
        <v>48307.15</v>
      </c>
      <c r="H254" s="422">
        <v>0</v>
      </c>
      <c r="I254" s="422">
        <v>62411</v>
      </c>
    </row>
    <row r="255" spans="1:11">
      <c r="A255" s="3"/>
      <c r="B255" s="409">
        <v>85117</v>
      </c>
      <c r="C255" s="414"/>
      <c r="D255" s="415" t="s">
        <v>146</v>
      </c>
      <c r="E255" s="416">
        <f>E256+E258</f>
        <v>3277</v>
      </c>
      <c r="F255" s="416">
        <f t="shared" ref="F255:I255" si="89">F256+F258</f>
        <v>32770</v>
      </c>
      <c r="G255" s="416">
        <f t="shared" si="89"/>
        <v>5078</v>
      </c>
      <c r="H255" s="416">
        <f t="shared" si="89"/>
        <v>0</v>
      </c>
      <c r="I255" s="416">
        <f t="shared" si="89"/>
        <v>0</v>
      </c>
    </row>
    <row r="256" spans="1:11">
      <c r="A256" s="3"/>
      <c r="B256" s="409" t="s">
        <v>19</v>
      </c>
      <c r="C256" s="4" t="s">
        <v>124</v>
      </c>
      <c r="D256" s="410" t="s">
        <v>125</v>
      </c>
      <c r="E256" s="411">
        <v>0</v>
      </c>
      <c r="F256" s="411">
        <f t="shared" ref="F256:I256" si="90">F257</f>
        <v>0</v>
      </c>
      <c r="G256" s="411">
        <f t="shared" si="90"/>
        <v>0</v>
      </c>
      <c r="H256" s="411">
        <f t="shared" si="90"/>
        <v>0</v>
      </c>
      <c r="I256" s="411">
        <f t="shared" si="90"/>
        <v>0</v>
      </c>
    </row>
    <row r="257" spans="1:11">
      <c r="A257" s="3"/>
      <c r="B257" s="4"/>
      <c r="C257" s="431"/>
      <c r="D257" s="432" t="s">
        <v>147</v>
      </c>
      <c r="E257" s="433">
        <f t="shared" si="76"/>
        <v>0</v>
      </c>
      <c r="F257" s="433">
        <v>0</v>
      </c>
      <c r="G257" s="433">
        <v>0</v>
      </c>
      <c r="H257" s="433">
        <v>0</v>
      </c>
      <c r="I257" s="433">
        <f>H257</f>
        <v>0</v>
      </c>
    </row>
    <row r="258" spans="1:11" ht="38.25">
      <c r="A258" s="3"/>
      <c r="B258" s="409" t="s">
        <v>19</v>
      </c>
      <c r="C258" s="4" t="s">
        <v>148</v>
      </c>
      <c r="D258" s="410" t="s">
        <v>149</v>
      </c>
      <c r="E258" s="411">
        <v>3277</v>
      </c>
      <c r="F258" s="411">
        <f>F259</f>
        <v>32770</v>
      </c>
      <c r="G258" s="411">
        <f t="shared" ref="G258:I258" si="91">G259</f>
        <v>5078</v>
      </c>
      <c r="H258" s="411">
        <f t="shared" si="91"/>
        <v>0</v>
      </c>
      <c r="I258" s="411">
        <f t="shared" si="91"/>
        <v>0</v>
      </c>
    </row>
    <row r="259" spans="1:11">
      <c r="A259" s="3"/>
      <c r="B259" s="4"/>
      <c r="C259" s="431"/>
      <c r="D259" s="432" t="s">
        <v>147</v>
      </c>
      <c r="E259" s="433">
        <v>32770</v>
      </c>
      <c r="F259" s="433">
        <f>'Wykonanie 8 2025'!H158</f>
        <v>32770</v>
      </c>
      <c r="G259" s="433">
        <f>F259-27692</f>
        <v>5078</v>
      </c>
      <c r="H259" s="433">
        <v>0</v>
      </c>
      <c r="I259" s="433">
        <v>0</v>
      </c>
    </row>
    <row r="260" spans="1:11">
      <c r="A260" s="3"/>
      <c r="B260" s="409">
        <v>85195</v>
      </c>
      <c r="C260" s="414"/>
      <c r="D260" s="415" t="s">
        <v>45</v>
      </c>
      <c r="E260" s="416">
        <f t="shared" si="76"/>
        <v>0</v>
      </c>
      <c r="F260" s="416">
        <f t="shared" ref="F260:I260" si="92">F261</f>
        <v>960</v>
      </c>
      <c r="G260" s="416">
        <f t="shared" si="92"/>
        <v>960</v>
      </c>
      <c r="H260" s="416">
        <f t="shared" si="92"/>
        <v>0</v>
      </c>
      <c r="I260" s="416">
        <f t="shared" si="92"/>
        <v>0</v>
      </c>
    </row>
    <row r="261" spans="1:11" ht="38.25">
      <c r="A261" s="3"/>
      <c r="B261" s="4" t="s">
        <v>12</v>
      </c>
      <c r="C261" s="4" t="s">
        <v>13</v>
      </c>
      <c r="D261" s="410" t="s">
        <v>14</v>
      </c>
      <c r="E261" s="411">
        <f t="shared" si="76"/>
        <v>0</v>
      </c>
      <c r="F261" s="411">
        <f>'Wykonanie 8 2025'!H159</f>
        <v>960</v>
      </c>
      <c r="G261" s="411">
        <f>F261</f>
        <v>960</v>
      </c>
      <c r="H261" s="411">
        <f>'[2]wykonanie 08 2022'!T243</f>
        <v>0</v>
      </c>
      <c r="I261" s="411">
        <v>0</v>
      </c>
    </row>
    <row r="262" spans="1:11">
      <c r="A262" s="368">
        <v>852</v>
      </c>
      <c r="B262" s="405"/>
      <c r="C262" s="406"/>
      <c r="D262" s="407" t="s">
        <v>150</v>
      </c>
      <c r="E262" s="408">
        <f>E263+E286+E288+E291+E295</f>
        <v>27199709.039999999</v>
      </c>
      <c r="F262" s="408">
        <f t="shared" ref="F262:I262" si="93">F263+F286+F288+F291+F295</f>
        <v>30738324.969999999</v>
      </c>
      <c r="G262" s="408">
        <f t="shared" si="93"/>
        <v>32661404</v>
      </c>
      <c r="H262" s="408">
        <f t="shared" si="93"/>
        <v>23722019</v>
      </c>
      <c r="I262" s="408">
        <f t="shared" si="93"/>
        <v>23727019</v>
      </c>
      <c r="J262" s="418"/>
    </row>
    <row r="263" spans="1:11">
      <c r="A263" s="3"/>
      <c r="B263" s="409">
        <v>85202</v>
      </c>
      <c r="C263" s="414"/>
      <c r="D263" s="415" t="s">
        <v>151</v>
      </c>
      <c r="E263" s="416">
        <f>E264+E266+E268+E270+E282+E284</f>
        <v>25978249.039999999</v>
      </c>
      <c r="F263" s="522">
        <f t="shared" ref="F263" si="94">F264+F266+F268+F270+F272+F274+F276+F278+F280+F282+F283+F284</f>
        <v>29138048.969999999</v>
      </c>
      <c r="G263" s="416">
        <f>G264+G266+G268+G270+G272+G274+G276+G278+G280+G282+G283+G284</f>
        <v>31080189</v>
      </c>
      <c r="H263" s="416">
        <f>H264+H266+H268+H270+H272+H274+H276+H278+H280+H282+H283+H284</f>
        <v>23008199</v>
      </c>
      <c r="I263" s="416">
        <f>I264+I266+I268+I270+I272+I274+I276+I278+I280+I282+I283+I284</f>
        <v>23008199</v>
      </c>
    </row>
    <row r="264" spans="1:11">
      <c r="A264" s="3"/>
      <c r="B264" s="4" t="s">
        <v>19</v>
      </c>
      <c r="C264" s="527" t="s">
        <v>47</v>
      </c>
      <c r="D264" s="528" t="s">
        <v>48</v>
      </c>
      <c r="E264" s="529">
        <f>E265</f>
        <v>0</v>
      </c>
      <c r="F264" s="460">
        <f t="shared" ref="F264:I264" si="95">F265</f>
        <v>16</v>
      </c>
      <c r="G264" s="460">
        <f t="shared" si="95"/>
        <v>16</v>
      </c>
      <c r="H264" s="460">
        <f t="shared" si="95"/>
        <v>0</v>
      </c>
      <c r="I264" s="460">
        <f t="shared" si="95"/>
        <v>0</v>
      </c>
    </row>
    <row r="265" spans="1:11">
      <c r="A265" s="3"/>
      <c r="B265" s="4"/>
      <c r="C265" s="431"/>
      <c r="D265" s="432" t="s">
        <v>153</v>
      </c>
      <c r="E265" s="433">
        <f t="shared" ref="E265:E326" si="96">I265</f>
        <v>0</v>
      </c>
      <c r="F265" s="523">
        <f>'Wykonanie 8 2025'!J160</f>
        <v>16</v>
      </c>
      <c r="G265" s="461">
        <v>16</v>
      </c>
      <c r="H265" s="461">
        <v>0</v>
      </c>
      <c r="I265" s="433"/>
    </row>
    <row r="266" spans="1:11" ht="51.75">
      <c r="A266" s="3"/>
      <c r="B266" s="4" t="s">
        <v>19</v>
      </c>
      <c r="C266" s="527" t="s">
        <v>36</v>
      </c>
      <c r="D266" s="528" t="s">
        <v>152</v>
      </c>
      <c r="E266" s="529">
        <f t="shared" si="96"/>
        <v>0</v>
      </c>
      <c r="F266" s="460">
        <f t="shared" ref="F266:I266" si="97">F267</f>
        <v>715.97</v>
      </c>
      <c r="G266" s="460">
        <f t="shared" si="97"/>
        <v>742</v>
      </c>
      <c r="H266" s="460">
        <f t="shared" si="97"/>
        <v>0</v>
      </c>
      <c r="I266" s="460">
        <f t="shared" si="97"/>
        <v>0</v>
      </c>
    </row>
    <row r="267" spans="1:11">
      <c r="A267" s="3"/>
      <c r="B267" s="4"/>
      <c r="C267" s="431"/>
      <c r="D267" s="432" t="s">
        <v>153</v>
      </c>
      <c r="E267" s="433">
        <f t="shared" si="96"/>
        <v>0</v>
      </c>
      <c r="F267" s="523">
        <f>'Wykonanie 8 2025'!J161</f>
        <v>715.97</v>
      </c>
      <c r="G267" s="461">
        <v>742</v>
      </c>
      <c r="H267" s="461">
        <v>0</v>
      </c>
      <c r="I267" s="433"/>
    </row>
    <row r="268" spans="1:11">
      <c r="A268" s="6"/>
      <c r="B268" s="4" t="s">
        <v>19</v>
      </c>
      <c r="C268" s="4" t="s">
        <v>124</v>
      </c>
      <c r="D268" s="410" t="s">
        <v>125</v>
      </c>
      <c r="E268" s="529">
        <v>13988718</v>
      </c>
      <c r="F268" s="460">
        <f>F269</f>
        <v>13988718</v>
      </c>
      <c r="G268" s="460">
        <f t="shared" ref="G268:I268" si="98">G269</f>
        <v>15924073</v>
      </c>
      <c r="H268" s="460">
        <f t="shared" si="98"/>
        <v>16693018</v>
      </c>
      <c r="I268" s="460">
        <f t="shared" si="98"/>
        <v>16693018</v>
      </c>
      <c r="K268" s="496"/>
    </row>
    <row r="269" spans="1:11">
      <c r="A269" s="3"/>
      <c r="B269" s="4"/>
      <c r="C269" s="431"/>
      <c r="D269" s="432" t="s">
        <v>153</v>
      </c>
      <c r="E269" s="433">
        <v>13988718</v>
      </c>
      <c r="F269" s="523">
        <f>'Wykonanie 8 2025'!H162</f>
        <v>13988718</v>
      </c>
      <c r="G269" s="461">
        <v>15924073</v>
      </c>
      <c r="H269" s="461">
        <v>16693018</v>
      </c>
      <c r="I269" s="433">
        <v>16693018</v>
      </c>
    </row>
    <row r="270" spans="1:11">
      <c r="A270" s="3"/>
      <c r="B270" s="4" t="s">
        <v>19</v>
      </c>
      <c r="C270" s="4" t="s">
        <v>154</v>
      </c>
      <c r="D270" s="410" t="s">
        <v>155</v>
      </c>
      <c r="E270" s="411">
        <v>308193</v>
      </c>
      <c r="F270" s="524">
        <f>F271</f>
        <v>308193</v>
      </c>
      <c r="G270" s="524">
        <f t="shared" ref="G270:I270" si="99">G271</f>
        <v>314952</v>
      </c>
      <c r="H270" s="524">
        <f t="shared" si="99"/>
        <v>337869</v>
      </c>
      <c r="I270" s="524">
        <f t="shared" si="99"/>
        <v>337869</v>
      </c>
    </row>
    <row r="271" spans="1:11">
      <c r="A271" s="3"/>
      <c r="B271" s="4"/>
      <c r="C271" s="431"/>
      <c r="D271" s="432" t="s">
        <v>153</v>
      </c>
      <c r="E271" s="433">
        <v>308193</v>
      </c>
      <c r="F271" s="523">
        <f>'Wykonanie 8 2025'!H163</f>
        <v>308193</v>
      </c>
      <c r="G271" s="461">
        <v>314952</v>
      </c>
      <c r="H271" s="461">
        <v>337869</v>
      </c>
      <c r="I271" s="433">
        <v>337869</v>
      </c>
    </row>
    <row r="272" spans="1:11">
      <c r="A272" s="3"/>
      <c r="B272" s="13" t="s">
        <v>19</v>
      </c>
      <c r="C272" s="13" t="s">
        <v>22</v>
      </c>
      <c r="D272" s="421" t="s">
        <v>156</v>
      </c>
      <c r="E272" s="422">
        <v>0</v>
      </c>
      <c r="F272" s="525"/>
      <c r="G272" s="422"/>
      <c r="H272" s="422"/>
      <c r="I272" s="422"/>
    </row>
    <row r="273" spans="1:9">
      <c r="A273" s="3"/>
      <c r="B273" s="4"/>
      <c r="C273" s="431"/>
      <c r="D273" s="432" t="s">
        <v>153</v>
      </c>
      <c r="E273" s="433">
        <v>0</v>
      </c>
      <c r="F273" s="523"/>
      <c r="G273" s="461"/>
      <c r="H273" s="433"/>
      <c r="I273" s="433"/>
    </row>
    <row r="274" spans="1:9">
      <c r="A274" s="3"/>
      <c r="B274" s="4" t="s">
        <v>19</v>
      </c>
      <c r="C274" s="527" t="s">
        <v>40</v>
      </c>
      <c r="D274" s="530" t="s">
        <v>41</v>
      </c>
      <c r="E274" s="411">
        <v>0</v>
      </c>
      <c r="F274" s="524"/>
      <c r="G274" s="411"/>
      <c r="H274" s="411"/>
      <c r="I274" s="411"/>
    </row>
    <row r="275" spans="1:9">
      <c r="A275" s="3"/>
      <c r="B275" s="4"/>
      <c r="C275" s="431"/>
      <c r="D275" s="432" t="s">
        <v>153</v>
      </c>
      <c r="E275" s="433">
        <v>0</v>
      </c>
      <c r="F275" s="526"/>
      <c r="G275" s="463"/>
      <c r="H275" s="433"/>
      <c r="I275" s="433"/>
    </row>
    <row r="276" spans="1:9" ht="16.5" customHeight="1">
      <c r="A276" s="3"/>
      <c r="B276" s="4" t="s">
        <v>19</v>
      </c>
      <c r="C276" s="441" t="s">
        <v>23</v>
      </c>
      <c r="D276" s="419" t="s">
        <v>24</v>
      </c>
      <c r="E276" s="411">
        <v>0</v>
      </c>
      <c r="F276" s="524"/>
      <c r="G276" s="411"/>
      <c r="H276" s="411"/>
      <c r="I276" s="411"/>
    </row>
    <row r="277" spans="1:9">
      <c r="A277" s="3"/>
      <c r="B277" s="4"/>
      <c r="C277" s="431"/>
      <c r="D277" s="432" t="s">
        <v>153</v>
      </c>
      <c r="E277" s="433">
        <v>0</v>
      </c>
      <c r="F277" s="463"/>
      <c r="G277" s="463"/>
      <c r="H277" s="433"/>
      <c r="I277" s="433"/>
    </row>
    <row r="278" spans="1:9">
      <c r="A278" s="3"/>
      <c r="B278" s="4" t="s">
        <v>19</v>
      </c>
      <c r="C278" s="4" t="s">
        <v>58</v>
      </c>
      <c r="D278" s="410" t="s">
        <v>26</v>
      </c>
      <c r="E278" s="411">
        <v>0</v>
      </c>
      <c r="F278" s="411"/>
      <c r="G278" s="411"/>
      <c r="H278" s="411"/>
      <c r="I278" s="411"/>
    </row>
    <row r="279" spans="1:9">
      <c r="A279" s="3"/>
      <c r="B279" s="4"/>
      <c r="C279" s="431"/>
      <c r="D279" s="432" t="s">
        <v>153</v>
      </c>
      <c r="E279" s="433">
        <v>0</v>
      </c>
      <c r="F279" s="463"/>
      <c r="G279" s="463"/>
      <c r="H279" s="433"/>
      <c r="I279" s="433"/>
    </row>
    <row r="280" spans="1:9">
      <c r="A280" s="3"/>
      <c r="B280" s="4" t="s">
        <v>19</v>
      </c>
      <c r="C280" s="4" t="s">
        <v>25</v>
      </c>
      <c r="D280" s="410" t="s">
        <v>26</v>
      </c>
      <c r="E280" s="411">
        <v>0</v>
      </c>
      <c r="F280" s="411"/>
      <c r="G280" s="411"/>
      <c r="H280" s="411"/>
      <c r="I280" s="411"/>
    </row>
    <row r="281" spans="1:9">
      <c r="A281" s="3"/>
      <c r="B281" s="4"/>
      <c r="C281" s="431"/>
      <c r="D281" s="432" t="s">
        <v>153</v>
      </c>
      <c r="E281" s="433"/>
      <c r="F281" s="464"/>
      <c r="G281" s="464"/>
      <c r="H281" s="433"/>
      <c r="I281" s="433"/>
    </row>
    <row r="282" spans="1:9" ht="25.5">
      <c r="A282" s="3"/>
      <c r="B282" s="4" t="s">
        <v>19</v>
      </c>
      <c r="C282" s="4" t="s">
        <v>118</v>
      </c>
      <c r="D282" s="410" t="s">
        <v>157</v>
      </c>
      <c r="E282" s="411">
        <v>4496325</v>
      </c>
      <c r="F282" s="411">
        <f>'Wykonanie 8 2025'!H166</f>
        <v>6840406</v>
      </c>
      <c r="G282" s="411">
        <f>F282</f>
        <v>6840406</v>
      </c>
      <c r="H282" s="411">
        <v>5883832</v>
      </c>
      <c r="I282" s="411">
        <f>H282</f>
        <v>5883832</v>
      </c>
    </row>
    <row r="283" spans="1:9" ht="51">
      <c r="A283" s="3"/>
      <c r="B283" s="13" t="s">
        <v>19</v>
      </c>
      <c r="C283" s="13" t="s">
        <v>60</v>
      </c>
      <c r="D283" s="465" t="s">
        <v>158</v>
      </c>
      <c r="E283" s="422">
        <v>0</v>
      </c>
      <c r="F283" s="422">
        <v>0</v>
      </c>
      <c r="G283" s="422">
        <v>0</v>
      </c>
      <c r="H283" s="422">
        <v>0</v>
      </c>
      <c r="I283" s="422">
        <f>H283</f>
        <v>0</v>
      </c>
    </row>
    <row r="284" spans="1:9" ht="45">
      <c r="A284" s="3"/>
      <c r="B284" s="13" t="s">
        <v>19</v>
      </c>
      <c r="C284" s="13" t="s">
        <v>218</v>
      </c>
      <c r="D284" s="466" t="s">
        <v>219</v>
      </c>
      <c r="E284" s="467">
        <v>7185013.04</v>
      </c>
      <c r="F284" s="467">
        <f>'Wykonanie 8 2025'!H167</f>
        <v>8000000</v>
      </c>
      <c r="G284" s="467">
        <f>F284</f>
        <v>8000000</v>
      </c>
      <c r="H284" s="467">
        <v>93480</v>
      </c>
      <c r="I284" s="467">
        <v>93480</v>
      </c>
    </row>
    <row r="285" spans="1:9" ht="38.25">
      <c r="A285" s="3"/>
      <c r="B285" s="4"/>
      <c r="C285" s="14"/>
      <c r="D285" s="468" t="s">
        <v>652</v>
      </c>
      <c r="E285" s="412">
        <v>7185013.04</v>
      </c>
      <c r="F285" s="411">
        <v>8000000</v>
      </c>
      <c r="G285" s="413">
        <v>0</v>
      </c>
      <c r="H285" s="412"/>
      <c r="I285" s="412"/>
    </row>
    <row r="286" spans="1:9">
      <c r="A286" s="3"/>
      <c r="B286" s="409">
        <v>85205</v>
      </c>
      <c r="C286" s="414"/>
      <c r="D286" s="415" t="s">
        <v>159</v>
      </c>
      <c r="E286" s="416">
        <f t="shared" si="96"/>
        <v>0</v>
      </c>
      <c r="F286" s="416">
        <f t="shared" ref="F286:I286" si="100">F287</f>
        <v>30600</v>
      </c>
      <c r="G286" s="416">
        <f t="shared" si="100"/>
        <v>30600</v>
      </c>
      <c r="H286" s="416">
        <f t="shared" si="100"/>
        <v>0</v>
      </c>
      <c r="I286" s="416">
        <f t="shared" si="100"/>
        <v>0</v>
      </c>
    </row>
    <row r="287" spans="1:9" ht="38.25">
      <c r="A287" s="3"/>
      <c r="B287" s="4" t="s">
        <v>12</v>
      </c>
      <c r="C287" s="4" t="s">
        <v>13</v>
      </c>
      <c r="D287" s="410" t="s">
        <v>14</v>
      </c>
      <c r="E287" s="411">
        <f t="shared" si="96"/>
        <v>0</v>
      </c>
      <c r="F287" s="411">
        <f>'Wykonanie 8 2025'!H168</f>
        <v>30600</v>
      </c>
      <c r="G287" s="411">
        <f>F287</f>
        <v>30600</v>
      </c>
      <c r="H287" s="411">
        <v>0</v>
      </c>
      <c r="I287" s="411">
        <v>0</v>
      </c>
    </row>
    <row r="288" spans="1:9">
      <c r="A288" s="3"/>
      <c r="B288" s="409">
        <v>85218</v>
      </c>
      <c r="C288" s="414"/>
      <c r="D288" s="469" t="s">
        <v>160</v>
      </c>
      <c r="E288" s="416">
        <f t="shared" si="96"/>
        <v>0</v>
      </c>
      <c r="F288" s="416">
        <f t="shared" ref="F288:I288" si="101">F289+F290</f>
        <v>343149</v>
      </c>
      <c r="G288" s="416">
        <f t="shared" si="101"/>
        <v>343155</v>
      </c>
      <c r="H288" s="416">
        <f t="shared" si="101"/>
        <v>0</v>
      </c>
      <c r="I288" s="416">
        <f t="shared" si="101"/>
        <v>0</v>
      </c>
    </row>
    <row r="289" spans="1:9">
      <c r="A289" s="3"/>
      <c r="B289" s="4" t="s">
        <v>19</v>
      </c>
      <c r="C289" s="4" t="s">
        <v>25</v>
      </c>
      <c r="D289" s="410" t="s">
        <v>26</v>
      </c>
      <c r="E289" s="411">
        <v>0</v>
      </c>
      <c r="F289" s="411">
        <v>0</v>
      </c>
      <c r="G289" s="411">
        <v>6</v>
      </c>
      <c r="H289" s="411">
        <v>0</v>
      </c>
      <c r="I289" s="411">
        <v>0</v>
      </c>
    </row>
    <row r="290" spans="1:9" ht="25.5">
      <c r="A290" s="3"/>
      <c r="B290" s="4" t="s">
        <v>19</v>
      </c>
      <c r="C290" s="4" t="s">
        <v>118</v>
      </c>
      <c r="D290" s="410" t="s">
        <v>157</v>
      </c>
      <c r="E290" s="411">
        <v>0</v>
      </c>
      <c r="F290" s="411">
        <f>'Wykonanie 8 2025'!H169</f>
        <v>343149</v>
      </c>
      <c r="G290" s="411">
        <f>F290</f>
        <v>343149</v>
      </c>
      <c r="H290" s="411">
        <v>0</v>
      </c>
      <c r="I290" s="411">
        <f>H290</f>
        <v>0</v>
      </c>
    </row>
    <row r="291" spans="1:9" ht="25.5">
      <c r="A291" s="3"/>
      <c r="B291" s="409">
        <v>85220</v>
      </c>
      <c r="C291" s="414"/>
      <c r="D291" s="415" t="s">
        <v>161</v>
      </c>
      <c r="E291" s="416">
        <f>E293</f>
        <v>5000</v>
      </c>
      <c r="F291" s="416">
        <f t="shared" ref="F291:I291" si="102">F292+F293</f>
        <v>19067</v>
      </c>
      <c r="G291" s="416">
        <f t="shared" si="102"/>
        <v>0</v>
      </c>
      <c r="H291" s="416">
        <f t="shared" si="102"/>
        <v>0</v>
      </c>
      <c r="I291" s="416">
        <f t="shared" si="102"/>
        <v>5000</v>
      </c>
    </row>
    <row r="292" spans="1:9" ht="25.5">
      <c r="A292" s="3"/>
      <c r="B292" s="4" t="s">
        <v>19</v>
      </c>
      <c r="C292" s="4" t="s">
        <v>118</v>
      </c>
      <c r="D292" s="410" t="s">
        <v>157</v>
      </c>
      <c r="E292" s="411">
        <v>0</v>
      </c>
      <c r="F292" s="411">
        <f>'Wykonanie 8 2025'!H170</f>
        <v>14067</v>
      </c>
      <c r="G292" s="411"/>
      <c r="H292" s="411">
        <v>0</v>
      </c>
      <c r="I292" s="411">
        <f>H292</f>
        <v>0</v>
      </c>
    </row>
    <row r="293" spans="1:9" ht="38.25">
      <c r="A293" s="3"/>
      <c r="B293" s="4" t="s">
        <v>19</v>
      </c>
      <c r="C293" s="4" t="s">
        <v>162</v>
      </c>
      <c r="D293" s="410" t="s">
        <v>163</v>
      </c>
      <c r="E293" s="411">
        <v>5000</v>
      </c>
      <c r="F293" s="411">
        <f>'Wykonanie 8 2025'!H171</f>
        <v>5000</v>
      </c>
      <c r="G293" s="411">
        <v>0</v>
      </c>
      <c r="H293" s="411">
        <v>0</v>
      </c>
      <c r="I293" s="411">
        <f>I294</f>
        <v>5000</v>
      </c>
    </row>
    <row r="294" spans="1:9">
      <c r="A294" s="3"/>
      <c r="B294" s="4"/>
      <c r="C294" s="470"/>
      <c r="D294" s="471" t="s">
        <v>164</v>
      </c>
      <c r="E294" s="472">
        <f t="shared" si="96"/>
        <v>5000</v>
      </c>
      <c r="F294" s="472">
        <f>'[1]budżet 31.08.2022'!H170</f>
        <v>4000</v>
      </c>
      <c r="G294" s="472">
        <f>F294</f>
        <v>4000</v>
      </c>
      <c r="H294" s="472">
        <v>4000</v>
      </c>
      <c r="I294" s="472">
        <v>5000</v>
      </c>
    </row>
    <row r="295" spans="1:9">
      <c r="A295" s="3"/>
      <c r="B295" s="409">
        <v>85295</v>
      </c>
      <c r="C295" s="414"/>
      <c r="D295" s="415" t="s">
        <v>45</v>
      </c>
      <c r="E295" s="416">
        <f>E298+E300+E302+E304</f>
        <v>1216460</v>
      </c>
      <c r="F295" s="416">
        <f t="shared" ref="F295:I295" si="103">F298+F300+F302+F304</f>
        <v>1207460</v>
      </c>
      <c r="G295" s="416">
        <f t="shared" si="103"/>
        <v>1207460</v>
      </c>
      <c r="H295" s="416">
        <f t="shared" si="103"/>
        <v>713820</v>
      </c>
      <c r="I295" s="416">
        <f t="shared" si="103"/>
        <v>713820</v>
      </c>
    </row>
    <row r="296" spans="1:9" ht="38.25">
      <c r="A296" s="3"/>
      <c r="B296" s="4" t="s">
        <v>12</v>
      </c>
      <c r="C296" s="4" t="s">
        <v>13</v>
      </c>
      <c r="D296" s="410" t="s">
        <v>14</v>
      </c>
      <c r="E296" s="411">
        <f t="shared" si="96"/>
        <v>0</v>
      </c>
      <c r="F296" s="411">
        <f>'Wykonanie 8 2025'!H174</f>
        <v>4132.8</v>
      </c>
      <c r="G296" s="411">
        <f>F296</f>
        <v>4132.8</v>
      </c>
      <c r="H296" s="411">
        <v>0</v>
      </c>
      <c r="I296" s="411">
        <f>H296</f>
        <v>0</v>
      </c>
    </row>
    <row r="297" spans="1:9" ht="25.5">
      <c r="A297" s="3"/>
      <c r="B297" s="4" t="s">
        <v>19</v>
      </c>
      <c r="C297" s="4" t="s">
        <v>68</v>
      </c>
      <c r="D297" s="410" t="s">
        <v>69</v>
      </c>
      <c r="E297" s="411">
        <v>0</v>
      </c>
      <c r="F297" s="411">
        <v>0</v>
      </c>
      <c r="G297" s="411">
        <v>0</v>
      </c>
      <c r="H297" s="411">
        <v>0</v>
      </c>
      <c r="I297" s="411">
        <f>H297</f>
        <v>0</v>
      </c>
    </row>
    <row r="298" spans="1:9" ht="51">
      <c r="A298" s="3"/>
      <c r="B298" s="4" t="s">
        <v>19</v>
      </c>
      <c r="C298" s="4" t="s">
        <v>140</v>
      </c>
      <c r="D298" s="410" t="s">
        <v>139</v>
      </c>
      <c r="E298" s="411">
        <v>691120</v>
      </c>
      <c r="F298" s="411">
        <f t="shared" ref="F298:I298" si="104">F299</f>
        <v>691120</v>
      </c>
      <c r="G298" s="411">
        <f t="shared" si="104"/>
        <v>691120</v>
      </c>
      <c r="H298" s="411">
        <f t="shared" si="104"/>
        <v>638654.75</v>
      </c>
      <c r="I298" s="411">
        <f t="shared" si="104"/>
        <v>638654.75</v>
      </c>
    </row>
    <row r="299" spans="1:9">
      <c r="A299" s="3"/>
      <c r="B299" s="409"/>
      <c r="C299" s="4"/>
      <c r="D299" s="473" t="s">
        <v>672</v>
      </c>
      <c r="E299" s="474">
        <v>691120</v>
      </c>
      <c r="F299" s="474">
        <f>'Wykonanie 8 2025'!H172</f>
        <v>691120</v>
      </c>
      <c r="G299" s="474">
        <f>F299</f>
        <v>691120</v>
      </c>
      <c r="H299" s="474">
        <v>638654.75</v>
      </c>
      <c r="I299" s="474">
        <f>H299</f>
        <v>638654.75</v>
      </c>
    </row>
    <row r="300" spans="1:9" ht="51">
      <c r="A300" s="3"/>
      <c r="B300" s="4" t="s">
        <v>19</v>
      </c>
      <c r="C300" s="4" t="s">
        <v>141</v>
      </c>
      <c r="D300" s="410" t="s">
        <v>139</v>
      </c>
      <c r="E300" s="411">
        <v>81340</v>
      </c>
      <c r="F300" s="411">
        <f>F301</f>
        <v>81340</v>
      </c>
      <c r="G300" s="411">
        <f t="shared" ref="G300:I300" si="105">G301</f>
        <v>81340</v>
      </c>
      <c r="H300" s="411">
        <f t="shared" si="105"/>
        <v>75165.25</v>
      </c>
      <c r="I300" s="411">
        <f t="shared" si="105"/>
        <v>75165.25</v>
      </c>
    </row>
    <row r="301" spans="1:9">
      <c r="A301" s="3"/>
      <c r="B301" s="409"/>
      <c r="C301" s="4"/>
      <c r="D301" s="473" t="s">
        <v>672</v>
      </c>
      <c r="E301" s="474">
        <v>81340</v>
      </c>
      <c r="F301" s="474">
        <f>'Wykonanie 8 2025'!H173</f>
        <v>81340</v>
      </c>
      <c r="G301" s="474">
        <f>F301</f>
        <v>81340</v>
      </c>
      <c r="H301" s="474">
        <v>75165.25</v>
      </c>
      <c r="I301" s="474">
        <f>H301</f>
        <v>75165.25</v>
      </c>
    </row>
    <row r="302" spans="1:9" ht="89.25">
      <c r="A302" s="3"/>
      <c r="B302" s="449" t="s">
        <v>19</v>
      </c>
      <c r="C302" s="449" t="s">
        <v>723</v>
      </c>
      <c r="D302" s="450" t="s">
        <v>724</v>
      </c>
      <c r="E302" s="475">
        <v>398194.5</v>
      </c>
      <c r="F302" s="475">
        <f t="shared" ref="F302:I302" si="106">F303</f>
        <v>389194.5</v>
      </c>
      <c r="G302" s="475">
        <f t="shared" si="106"/>
        <v>389194.5</v>
      </c>
      <c r="H302" s="475">
        <f t="shared" si="106"/>
        <v>0</v>
      </c>
      <c r="I302" s="475">
        <f t="shared" si="106"/>
        <v>0</v>
      </c>
    </row>
    <row r="303" spans="1:9">
      <c r="A303" s="3"/>
      <c r="B303" s="409"/>
      <c r="C303" s="4"/>
      <c r="D303" s="473" t="s">
        <v>672</v>
      </c>
      <c r="E303" s="476">
        <v>389194.5</v>
      </c>
      <c r="F303" s="476">
        <f>'Wykonanie 8 2025'!H175</f>
        <v>389194.5</v>
      </c>
      <c r="G303" s="476">
        <f>F303</f>
        <v>389194.5</v>
      </c>
      <c r="H303" s="476">
        <v>0</v>
      </c>
      <c r="I303" s="476">
        <v>0</v>
      </c>
    </row>
    <row r="304" spans="1:9" ht="89.25">
      <c r="A304" s="3"/>
      <c r="B304" s="449" t="s">
        <v>19</v>
      </c>
      <c r="C304" s="449" t="s">
        <v>725</v>
      </c>
      <c r="D304" s="450" t="s">
        <v>724</v>
      </c>
      <c r="E304" s="475">
        <v>45805.5</v>
      </c>
      <c r="F304" s="475">
        <f t="shared" ref="F304:I304" si="107">F305</f>
        <v>45805.5</v>
      </c>
      <c r="G304" s="475">
        <f>F304</f>
        <v>45805.5</v>
      </c>
      <c r="H304" s="475">
        <f t="shared" si="107"/>
        <v>0</v>
      </c>
      <c r="I304" s="475">
        <f t="shared" si="107"/>
        <v>0</v>
      </c>
    </row>
    <row r="305" spans="1:10">
      <c r="A305" s="3"/>
      <c r="B305" s="409"/>
      <c r="C305" s="4"/>
      <c r="D305" s="473" t="s">
        <v>672</v>
      </c>
      <c r="E305" s="474">
        <v>45805.5</v>
      </c>
      <c r="F305" s="474">
        <f>'Wykonanie 8 2025'!H176</f>
        <v>45805.5</v>
      </c>
      <c r="G305" s="474">
        <f>F305</f>
        <v>45805.5</v>
      </c>
      <c r="H305" s="474">
        <v>0</v>
      </c>
      <c r="I305" s="474">
        <v>0</v>
      </c>
    </row>
    <row r="306" spans="1:10">
      <c r="A306" s="368">
        <v>853</v>
      </c>
      <c r="B306" s="405"/>
      <c r="C306" s="406"/>
      <c r="D306" s="407" t="s">
        <v>165</v>
      </c>
      <c r="E306" s="408">
        <f>E307+E312+E316+E320+E332</f>
        <v>2560913.2000000002</v>
      </c>
      <c r="F306" s="408">
        <f t="shared" ref="F306:G306" si="108">F307+F312+F316+F320+F332</f>
        <v>3325835.4899999998</v>
      </c>
      <c r="G306" s="408">
        <f t="shared" si="108"/>
        <v>1109755.95</v>
      </c>
      <c r="H306" s="408">
        <f>H307+H312+H316+H320+H332</f>
        <v>1245355.2</v>
      </c>
      <c r="I306" s="408">
        <f>I307+I312+I316+I320+I332</f>
        <v>1245355.2</v>
      </c>
      <c r="J306" s="418"/>
    </row>
    <row r="307" spans="1:10" ht="25.5">
      <c r="A307" s="3"/>
      <c r="B307" s="409">
        <v>85311</v>
      </c>
      <c r="C307" s="414"/>
      <c r="D307" s="415" t="s">
        <v>166</v>
      </c>
      <c r="E307" s="416">
        <f>E308</f>
        <v>3744</v>
      </c>
      <c r="F307" s="416">
        <f>F308+F311</f>
        <v>3911</v>
      </c>
      <c r="G307" s="416">
        <f>G308+G311</f>
        <v>3911</v>
      </c>
      <c r="H307" s="416">
        <f>H308+H311</f>
        <v>7822</v>
      </c>
      <c r="I307" s="416">
        <f>I308</f>
        <v>7822</v>
      </c>
    </row>
    <row r="308" spans="1:10" ht="38.25">
      <c r="A308" s="3"/>
      <c r="B308" s="4" t="s">
        <v>167</v>
      </c>
      <c r="C308" s="4" t="s">
        <v>168</v>
      </c>
      <c r="D308" s="410" t="s">
        <v>169</v>
      </c>
      <c r="E308" s="411">
        <v>3744</v>
      </c>
      <c r="F308" s="411">
        <f>F310</f>
        <v>3911</v>
      </c>
      <c r="G308" s="411">
        <f>F308</f>
        <v>3911</v>
      </c>
      <c r="H308" s="411">
        <v>7822</v>
      </c>
      <c r="I308" s="411">
        <f>SUM(I309:I310)</f>
        <v>7822</v>
      </c>
    </row>
    <row r="309" spans="1:10">
      <c r="A309" s="3"/>
      <c r="B309" s="4"/>
      <c r="C309" s="451"/>
      <c r="D309" s="452" t="s">
        <v>170</v>
      </c>
      <c r="E309" s="453">
        <f t="shared" si="96"/>
        <v>0</v>
      </c>
      <c r="F309" s="453">
        <v>0</v>
      </c>
      <c r="G309" s="453">
        <v>0</v>
      </c>
      <c r="H309" s="453">
        <v>0</v>
      </c>
      <c r="I309" s="453">
        <f>H309</f>
        <v>0</v>
      </c>
    </row>
    <row r="310" spans="1:10">
      <c r="A310" s="3"/>
      <c r="B310" s="4"/>
      <c r="C310" s="451"/>
      <c r="D310" s="452" t="s">
        <v>171</v>
      </c>
      <c r="E310" s="453">
        <v>3744</v>
      </c>
      <c r="F310" s="453">
        <f>'Wykonanie 8 2025'!H177</f>
        <v>3911</v>
      </c>
      <c r="G310" s="453"/>
      <c r="H310" s="453"/>
      <c r="I310" s="453">
        <v>7822</v>
      </c>
    </row>
    <row r="311" spans="1:10" ht="51">
      <c r="A311" s="3"/>
      <c r="B311" s="13" t="s">
        <v>19</v>
      </c>
      <c r="C311" s="13" t="s">
        <v>60</v>
      </c>
      <c r="D311" s="421" t="s">
        <v>172</v>
      </c>
      <c r="E311" s="422">
        <f t="shared" si="96"/>
        <v>0</v>
      </c>
      <c r="F311" s="422">
        <v>0</v>
      </c>
      <c r="G311" s="422">
        <v>0</v>
      </c>
      <c r="H311" s="422">
        <v>0</v>
      </c>
      <c r="I311" s="422">
        <v>0</v>
      </c>
    </row>
    <row r="312" spans="1:10">
      <c r="A312" s="3"/>
      <c r="B312" s="409">
        <v>85321</v>
      </c>
      <c r="C312" s="414"/>
      <c r="D312" s="415" t="s">
        <v>173</v>
      </c>
      <c r="E312" s="416">
        <f>E314</f>
        <v>590000</v>
      </c>
      <c r="F312" s="416">
        <f t="shared" ref="F312:I312" si="109">F313+F314+F315</f>
        <v>621624.1</v>
      </c>
      <c r="G312" s="416">
        <f>G313+G314+G315</f>
        <v>621956.94999999995</v>
      </c>
      <c r="H312" s="416">
        <f t="shared" si="109"/>
        <v>597000</v>
      </c>
      <c r="I312" s="416">
        <f t="shared" si="109"/>
        <v>597000</v>
      </c>
    </row>
    <row r="313" spans="1:10" ht="25.5">
      <c r="A313" s="3"/>
      <c r="B313" s="409" t="s">
        <v>19</v>
      </c>
      <c r="C313" s="4" t="s">
        <v>650</v>
      </c>
      <c r="D313" s="410" t="s">
        <v>718</v>
      </c>
      <c r="E313" s="411">
        <v>0</v>
      </c>
      <c r="F313" s="411">
        <f>'Wykonanie 8 2025'!J178</f>
        <v>3624.1</v>
      </c>
      <c r="G313" s="411">
        <f>F313</f>
        <v>3624.1</v>
      </c>
      <c r="H313" s="411">
        <v>0</v>
      </c>
      <c r="I313" s="411">
        <v>0</v>
      </c>
    </row>
    <row r="314" spans="1:10" ht="38.25">
      <c r="A314" s="3"/>
      <c r="B314" s="4" t="s">
        <v>12</v>
      </c>
      <c r="C314" s="4" t="s">
        <v>13</v>
      </c>
      <c r="D314" s="410" t="s">
        <v>14</v>
      </c>
      <c r="E314" s="411">
        <v>590000</v>
      </c>
      <c r="F314" s="411">
        <f>'Wykonanie 8 2025'!H179</f>
        <v>618000</v>
      </c>
      <c r="G314" s="411">
        <f>F314</f>
        <v>618000</v>
      </c>
      <c r="H314" s="411">
        <v>597000</v>
      </c>
      <c r="I314" s="411">
        <v>597000</v>
      </c>
    </row>
    <row r="315" spans="1:10" ht="38.25">
      <c r="A315" s="3"/>
      <c r="B315" s="4" t="s">
        <v>19</v>
      </c>
      <c r="C315" s="4" t="s">
        <v>715</v>
      </c>
      <c r="D315" s="410" t="s">
        <v>44</v>
      </c>
      <c r="E315" s="411">
        <v>0</v>
      </c>
      <c r="F315" s="411">
        <f>'[1]budżet 31.08.2022'!H174</f>
        <v>0</v>
      </c>
      <c r="G315" s="411">
        <f>'Wykonanie 8 2025'!J180</f>
        <v>332.85</v>
      </c>
      <c r="H315" s="411">
        <v>0</v>
      </c>
      <c r="I315" s="411">
        <v>0</v>
      </c>
    </row>
    <row r="316" spans="1:10">
      <c r="A316" s="3"/>
      <c r="B316" s="409">
        <v>85324</v>
      </c>
      <c r="C316" s="414"/>
      <c r="D316" s="415" t="s">
        <v>174</v>
      </c>
      <c r="E316" s="416">
        <f>E317</f>
        <v>25272</v>
      </c>
      <c r="F316" s="416">
        <f t="shared" ref="F316:I316" si="110">F317</f>
        <v>81483</v>
      </c>
      <c r="G316" s="416">
        <f t="shared" si="110"/>
        <v>81483</v>
      </c>
      <c r="H316" s="416">
        <f t="shared" si="110"/>
        <v>26397</v>
      </c>
      <c r="I316" s="416">
        <f t="shared" si="110"/>
        <v>26397</v>
      </c>
    </row>
    <row r="317" spans="1:10">
      <c r="A317" s="3"/>
      <c r="B317" s="4" t="s">
        <v>19</v>
      </c>
      <c r="C317" s="4" t="s">
        <v>124</v>
      </c>
      <c r="D317" s="410" t="s">
        <v>175</v>
      </c>
      <c r="E317" s="411">
        <v>25272</v>
      </c>
      <c r="F317" s="411">
        <f t="shared" ref="F317:I317" si="111">SUM(F318:F319)</f>
        <v>81483</v>
      </c>
      <c r="G317" s="411">
        <f t="shared" si="111"/>
        <v>81483</v>
      </c>
      <c r="H317" s="411">
        <f t="shared" si="111"/>
        <v>26397</v>
      </c>
      <c r="I317" s="411">
        <f t="shared" si="111"/>
        <v>26397</v>
      </c>
    </row>
    <row r="318" spans="1:10">
      <c r="A318" s="3"/>
      <c r="B318" s="4"/>
      <c r="C318" s="431"/>
      <c r="D318" s="432" t="s">
        <v>147</v>
      </c>
      <c r="E318" s="433">
        <v>25272</v>
      </c>
      <c r="F318" s="433">
        <f>'Wykonanie 8 2025'!H181</f>
        <v>81483</v>
      </c>
      <c r="G318" s="433">
        <v>81483</v>
      </c>
      <c r="H318" s="433">
        <v>26397</v>
      </c>
      <c r="I318" s="433">
        <v>26397</v>
      </c>
    </row>
    <row r="319" spans="1:10">
      <c r="A319" s="3"/>
      <c r="B319" s="4"/>
      <c r="C319" s="431"/>
      <c r="D319" s="432" t="s">
        <v>188</v>
      </c>
      <c r="E319" s="433">
        <f t="shared" si="96"/>
        <v>0</v>
      </c>
      <c r="F319" s="433">
        <v>0</v>
      </c>
      <c r="G319" s="433"/>
      <c r="H319" s="433"/>
      <c r="I319" s="433"/>
    </row>
    <row r="320" spans="1:10">
      <c r="A320" s="3"/>
      <c r="B320" s="409">
        <v>85333</v>
      </c>
      <c r="C320" s="414"/>
      <c r="D320" s="415" t="s">
        <v>176</v>
      </c>
      <c r="E320" s="416">
        <f>E323+E331</f>
        <v>455000</v>
      </c>
      <c r="F320" s="416">
        <f t="shared" ref="F320:I320" si="112">F321+F323+F325+F327+F329+F331</f>
        <v>342013</v>
      </c>
      <c r="G320" s="416">
        <f t="shared" si="112"/>
        <v>362673</v>
      </c>
      <c r="H320" s="416">
        <f t="shared" si="112"/>
        <v>363297</v>
      </c>
      <c r="I320" s="416">
        <f t="shared" si="112"/>
        <v>363297</v>
      </c>
    </row>
    <row r="321" spans="1:10" ht="26.25">
      <c r="A321" s="3"/>
      <c r="B321" s="409" t="s">
        <v>19</v>
      </c>
      <c r="C321" s="477" t="s">
        <v>94</v>
      </c>
      <c r="D321" s="478" t="s">
        <v>177</v>
      </c>
      <c r="E321" s="411">
        <v>0</v>
      </c>
      <c r="F321" s="411">
        <f t="shared" ref="F321:I321" si="113">F322</f>
        <v>0</v>
      </c>
      <c r="G321" s="411">
        <f t="shared" si="113"/>
        <v>3465</v>
      </c>
      <c r="H321" s="411">
        <f t="shared" si="113"/>
        <v>3800</v>
      </c>
      <c r="I321" s="411">
        <f t="shared" si="113"/>
        <v>3800</v>
      </c>
    </row>
    <row r="322" spans="1:10">
      <c r="A322" s="3"/>
      <c r="B322" s="409"/>
      <c r="C322" s="431"/>
      <c r="D322" s="432" t="s">
        <v>178</v>
      </c>
      <c r="E322" s="433">
        <f t="shared" si="96"/>
        <v>3800</v>
      </c>
      <c r="F322" s="433">
        <v>0</v>
      </c>
      <c r="G322" s="433">
        <v>3465</v>
      </c>
      <c r="H322" s="433">
        <v>3800</v>
      </c>
      <c r="I322" s="433">
        <v>3800</v>
      </c>
    </row>
    <row r="323" spans="1:10">
      <c r="A323" s="3"/>
      <c r="B323" s="409" t="s">
        <v>19</v>
      </c>
      <c r="C323" s="442" t="s">
        <v>47</v>
      </c>
      <c r="D323" s="479" t="s">
        <v>48</v>
      </c>
      <c r="E323" s="411">
        <v>45000</v>
      </c>
      <c r="F323" s="411">
        <f t="shared" ref="F323:I323" si="114">F324</f>
        <v>45000</v>
      </c>
      <c r="G323" s="411">
        <f t="shared" si="114"/>
        <v>61725</v>
      </c>
      <c r="H323" s="411">
        <f t="shared" si="114"/>
        <v>62000</v>
      </c>
      <c r="I323" s="411">
        <f t="shared" si="114"/>
        <v>62000</v>
      </c>
    </row>
    <row r="324" spans="1:10">
      <c r="A324" s="3"/>
      <c r="B324" s="409"/>
      <c r="C324" s="431"/>
      <c r="D324" s="432" t="s">
        <v>178</v>
      </c>
      <c r="E324" s="433">
        <v>45000</v>
      </c>
      <c r="F324" s="433">
        <f>'Wykonanie 8 2025'!H183</f>
        <v>45000</v>
      </c>
      <c r="G324" s="433">
        <v>61725</v>
      </c>
      <c r="H324" s="433">
        <v>62000</v>
      </c>
      <c r="I324" s="433">
        <v>62000</v>
      </c>
    </row>
    <row r="325" spans="1:10" ht="38.25">
      <c r="A325" s="3"/>
      <c r="B325" s="409" t="s">
        <v>19</v>
      </c>
      <c r="C325" s="4" t="s">
        <v>36</v>
      </c>
      <c r="D325" s="410" t="s">
        <v>37</v>
      </c>
      <c r="E325" s="411">
        <v>0</v>
      </c>
      <c r="F325" s="411">
        <f t="shared" ref="F325:I325" si="115">F326</f>
        <v>0</v>
      </c>
      <c r="G325" s="411">
        <f t="shared" si="115"/>
        <v>0</v>
      </c>
      <c r="H325" s="411">
        <f t="shared" si="115"/>
        <v>0</v>
      </c>
      <c r="I325" s="411">
        <f t="shared" si="115"/>
        <v>0</v>
      </c>
      <c r="J325" s="480"/>
    </row>
    <row r="326" spans="1:10">
      <c r="A326" s="3"/>
      <c r="B326" s="409"/>
      <c r="C326" s="431"/>
      <c r="D326" s="432" t="s">
        <v>178</v>
      </c>
      <c r="E326" s="433">
        <f t="shared" si="96"/>
        <v>0</v>
      </c>
      <c r="F326" s="433">
        <v>0</v>
      </c>
      <c r="G326" s="433">
        <v>0</v>
      </c>
      <c r="H326" s="433">
        <v>0</v>
      </c>
      <c r="I326" s="433">
        <f>H326</f>
        <v>0</v>
      </c>
    </row>
    <row r="327" spans="1:10">
      <c r="A327" s="3"/>
      <c r="B327" s="4" t="s">
        <v>19</v>
      </c>
      <c r="C327" s="4" t="s">
        <v>42</v>
      </c>
      <c r="D327" s="410" t="s">
        <v>43</v>
      </c>
      <c r="E327" s="411">
        <v>0</v>
      </c>
      <c r="F327" s="411">
        <f t="shared" ref="F327:I327" si="116">F328</f>
        <v>0</v>
      </c>
      <c r="G327" s="411">
        <f t="shared" si="116"/>
        <v>0</v>
      </c>
      <c r="H327" s="411">
        <f t="shared" si="116"/>
        <v>0</v>
      </c>
      <c r="I327" s="411">
        <f t="shared" si="116"/>
        <v>0</v>
      </c>
    </row>
    <row r="328" spans="1:10">
      <c r="A328" s="3"/>
      <c r="B328" s="409"/>
      <c r="C328" s="431"/>
      <c r="D328" s="432" t="s">
        <v>178</v>
      </c>
      <c r="E328" s="433">
        <f t="shared" ref="E328:E386" si="117">I328</f>
        <v>0</v>
      </c>
      <c r="F328" s="433">
        <v>0</v>
      </c>
      <c r="G328" s="433">
        <v>0</v>
      </c>
      <c r="H328" s="433">
        <v>0</v>
      </c>
      <c r="I328" s="433">
        <f>H328</f>
        <v>0</v>
      </c>
    </row>
    <row r="329" spans="1:10">
      <c r="A329" s="3"/>
      <c r="B329" s="4" t="s">
        <v>19</v>
      </c>
      <c r="C329" s="4" t="s">
        <v>25</v>
      </c>
      <c r="D329" s="410" t="s">
        <v>26</v>
      </c>
      <c r="E329" s="411">
        <v>0</v>
      </c>
      <c r="F329" s="411">
        <f t="shared" ref="F329:I329" si="118">F330</f>
        <v>0</v>
      </c>
      <c r="G329" s="411">
        <f t="shared" si="118"/>
        <v>470</v>
      </c>
      <c r="H329" s="411">
        <f t="shared" si="118"/>
        <v>484</v>
      </c>
      <c r="I329" s="411">
        <f t="shared" si="118"/>
        <v>484</v>
      </c>
    </row>
    <row r="330" spans="1:10">
      <c r="A330" s="3"/>
      <c r="B330" s="409"/>
      <c r="C330" s="431"/>
      <c r="D330" s="432" t="s">
        <v>178</v>
      </c>
      <c r="E330" s="433">
        <v>0</v>
      </c>
      <c r="F330" s="433">
        <f>'[1]budżet 31.08.2022'!H178</f>
        <v>0</v>
      </c>
      <c r="G330" s="433">
        <v>470</v>
      </c>
      <c r="H330" s="433">
        <v>484</v>
      </c>
      <c r="I330" s="433">
        <f>H330</f>
        <v>484</v>
      </c>
    </row>
    <row r="331" spans="1:10" ht="44.25" customHeight="1">
      <c r="A331" s="3"/>
      <c r="B331" s="4" t="s">
        <v>19</v>
      </c>
      <c r="C331" s="4" t="s">
        <v>179</v>
      </c>
      <c r="D331" s="410" t="s">
        <v>180</v>
      </c>
      <c r="E331" s="411">
        <v>410000</v>
      </c>
      <c r="F331" s="411">
        <f>'Wykonanie 8 2025'!H185</f>
        <v>297013</v>
      </c>
      <c r="G331" s="411">
        <f>F331</f>
        <v>297013</v>
      </c>
      <c r="H331" s="411">
        <f>G331</f>
        <v>297013</v>
      </c>
      <c r="I331" s="411">
        <v>297013</v>
      </c>
    </row>
    <row r="332" spans="1:10">
      <c r="A332" s="3"/>
      <c r="B332" s="409">
        <v>85395</v>
      </c>
      <c r="C332" s="414"/>
      <c r="D332" s="415" t="s">
        <v>45</v>
      </c>
      <c r="E332" s="416">
        <f>E337+E339+E342</f>
        <v>1486897.2</v>
      </c>
      <c r="F332" s="416">
        <f>F333+F334+F335+F336+F340+F343</f>
        <v>2276804.3899999997</v>
      </c>
      <c r="G332" s="416">
        <f>G333+G334+G335+G336+G340+G343</f>
        <v>39732</v>
      </c>
      <c r="H332" s="416">
        <f>H333+H334+H335+H336+H340+H343</f>
        <v>250839.2</v>
      </c>
      <c r="I332" s="416">
        <f>I333+I334+I335+I336+I340+I343</f>
        <v>250839.2</v>
      </c>
    </row>
    <row r="333" spans="1:10">
      <c r="A333" s="3"/>
      <c r="B333" s="4" t="s">
        <v>19</v>
      </c>
      <c r="C333" s="459" t="s">
        <v>40</v>
      </c>
      <c r="D333" s="462" t="s">
        <v>41</v>
      </c>
      <c r="E333" s="411">
        <v>0</v>
      </c>
      <c r="F333" s="411">
        <f>'[1]budżet 31.08.2022'!H180</f>
        <v>0</v>
      </c>
      <c r="G333" s="411">
        <v>0</v>
      </c>
      <c r="H333" s="411">
        <v>0</v>
      </c>
      <c r="I333" s="411">
        <v>0</v>
      </c>
    </row>
    <row r="334" spans="1:10" ht="30">
      <c r="A334" s="3"/>
      <c r="B334" s="4" t="s">
        <v>19</v>
      </c>
      <c r="C334" s="441" t="s">
        <v>23</v>
      </c>
      <c r="D334" s="419" t="s">
        <v>24</v>
      </c>
      <c r="E334" s="411">
        <v>0</v>
      </c>
      <c r="F334" s="411">
        <f>'[1]budżet 31.08.2022'!H181</f>
        <v>0</v>
      </c>
      <c r="G334" s="411">
        <v>0</v>
      </c>
      <c r="H334" s="411">
        <v>0</v>
      </c>
      <c r="I334" s="411">
        <v>0</v>
      </c>
    </row>
    <row r="335" spans="1:10">
      <c r="A335" s="3"/>
      <c r="B335" s="4" t="s">
        <v>19</v>
      </c>
      <c r="C335" s="4" t="s">
        <v>25</v>
      </c>
      <c r="D335" s="410" t="s">
        <v>26</v>
      </c>
      <c r="E335" s="411">
        <v>0</v>
      </c>
      <c r="F335" s="411">
        <f>'[1]budżet 31.08.2022'!H182</f>
        <v>0</v>
      </c>
      <c r="G335" s="411">
        <v>0</v>
      </c>
      <c r="H335" s="411">
        <v>0</v>
      </c>
      <c r="I335" s="411">
        <v>0</v>
      </c>
    </row>
    <row r="336" spans="1:10" ht="51">
      <c r="A336" s="5"/>
      <c r="B336" s="4" t="s">
        <v>19</v>
      </c>
      <c r="C336" s="4" t="s">
        <v>140</v>
      </c>
      <c r="D336" s="410" t="s">
        <v>139</v>
      </c>
      <c r="E336" s="411">
        <f t="shared" si="117"/>
        <v>224992.32</v>
      </c>
      <c r="F336" s="411">
        <f t="shared" ref="F336:I336" si="119">SUM(F337:F339)</f>
        <v>2168330.9699999997</v>
      </c>
      <c r="G336" s="411">
        <f t="shared" si="119"/>
        <v>0</v>
      </c>
      <c r="H336" s="411">
        <f t="shared" si="119"/>
        <v>224992.32</v>
      </c>
      <c r="I336" s="411">
        <f t="shared" si="119"/>
        <v>224992.32</v>
      </c>
    </row>
    <row r="337" spans="1:10">
      <c r="A337" s="5"/>
      <c r="B337" s="409"/>
      <c r="C337" s="4"/>
      <c r="D337" s="473" t="s">
        <v>670</v>
      </c>
      <c r="E337" s="474">
        <v>907200</v>
      </c>
      <c r="F337" s="474">
        <f>'Wykonanie 8 2025'!H186</f>
        <v>1569680</v>
      </c>
      <c r="G337" s="474">
        <v>0</v>
      </c>
      <c r="H337" s="474">
        <v>0</v>
      </c>
      <c r="I337" s="474">
        <v>0</v>
      </c>
    </row>
    <row r="338" spans="1:10">
      <c r="A338" s="5"/>
      <c r="B338" s="409"/>
      <c r="C338" s="4"/>
      <c r="D338" s="473" t="s">
        <v>290</v>
      </c>
      <c r="E338" s="474">
        <f t="shared" si="117"/>
        <v>0</v>
      </c>
      <c r="F338" s="474">
        <v>0</v>
      </c>
      <c r="G338" s="474">
        <v>0</v>
      </c>
      <c r="H338" s="474">
        <v>0</v>
      </c>
      <c r="I338" s="474">
        <v>0</v>
      </c>
    </row>
    <row r="339" spans="1:10">
      <c r="A339" s="5"/>
      <c r="B339" s="409"/>
      <c r="C339" s="4"/>
      <c r="D339" s="473" t="s">
        <v>668</v>
      </c>
      <c r="E339" s="474">
        <v>519988.4</v>
      </c>
      <c r="F339" s="474">
        <f>'Wykonanie 8 2025'!H187</f>
        <v>598650.97</v>
      </c>
      <c r="G339" s="474">
        <v>0</v>
      </c>
      <c r="H339" s="474">
        <v>224992.32</v>
      </c>
      <c r="I339" s="474">
        <f>H339</f>
        <v>224992.32</v>
      </c>
    </row>
    <row r="340" spans="1:10" ht="51">
      <c r="A340" s="5"/>
      <c r="B340" s="4" t="s">
        <v>19</v>
      </c>
      <c r="C340" s="4" t="s">
        <v>141</v>
      </c>
      <c r="D340" s="410" t="s">
        <v>139</v>
      </c>
      <c r="E340" s="411">
        <f t="shared" si="117"/>
        <v>25846.880000000001</v>
      </c>
      <c r="F340" s="411">
        <f t="shared" ref="F340:I340" si="120">SUM(F341:F342)</f>
        <v>68741.42</v>
      </c>
      <c r="G340" s="411">
        <f t="shared" si="120"/>
        <v>0</v>
      </c>
      <c r="H340" s="411">
        <f t="shared" si="120"/>
        <v>25846.880000000001</v>
      </c>
      <c r="I340" s="411">
        <f t="shared" si="120"/>
        <v>25846.880000000001</v>
      </c>
    </row>
    <row r="341" spans="1:10">
      <c r="A341" s="5"/>
      <c r="B341" s="409"/>
      <c r="C341" s="4"/>
      <c r="D341" s="473" t="s">
        <v>290</v>
      </c>
      <c r="E341" s="474">
        <f t="shared" si="117"/>
        <v>0</v>
      </c>
      <c r="F341" s="474">
        <v>0</v>
      </c>
      <c r="G341" s="474">
        <v>0</v>
      </c>
      <c r="H341" s="474">
        <v>0</v>
      </c>
      <c r="I341" s="474">
        <v>0</v>
      </c>
    </row>
    <row r="342" spans="1:10">
      <c r="A342" s="5"/>
      <c r="B342" s="409"/>
      <c r="C342" s="4"/>
      <c r="D342" s="473" t="s">
        <v>668</v>
      </c>
      <c r="E342" s="474">
        <v>59708.800000000003</v>
      </c>
      <c r="F342" s="474">
        <f>'Wykonanie 8 2025'!H188</f>
        <v>68741.42</v>
      </c>
      <c r="G342" s="474">
        <v>0</v>
      </c>
      <c r="H342" s="474">
        <v>25846.880000000001</v>
      </c>
      <c r="I342" s="474">
        <f>H342</f>
        <v>25846.880000000001</v>
      </c>
    </row>
    <row r="343" spans="1:10" ht="38.25">
      <c r="A343" s="5"/>
      <c r="B343" s="4" t="s">
        <v>12</v>
      </c>
      <c r="C343" s="4" t="s">
        <v>13</v>
      </c>
      <c r="D343" s="410" t="s">
        <v>14</v>
      </c>
      <c r="E343" s="411">
        <f t="shared" si="117"/>
        <v>0</v>
      </c>
      <c r="F343" s="411">
        <f>'Wykonanie 8 2025'!H189</f>
        <v>39732</v>
      </c>
      <c r="G343" s="411">
        <f>F343</f>
        <v>39732</v>
      </c>
      <c r="H343" s="411">
        <v>0</v>
      </c>
      <c r="I343" s="411">
        <f>H343</f>
        <v>0</v>
      </c>
    </row>
    <row r="344" spans="1:10">
      <c r="A344" s="368">
        <v>854</v>
      </c>
      <c r="B344" s="405"/>
      <c r="C344" s="406"/>
      <c r="D344" s="407" t="s">
        <v>181</v>
      </c>
      <c r="E344" s="408">
        <f>E345+E356+E374</f>
        <v>316400</v>
      </c>
      <c r="F344" s="408">
        <f t="shared" ref="F344:I344" si="121">F345+F356+F374+F379+F381</f>
        <v>316400</v>
      </c>
      <c r="G344" s="408">
        <f t="shared" si="121"/>
        <v>331084.01</v>
      </c>
      <c r="H344" s="408">
        <f t="shared" si="121"/>
        <v>299040</v>
      </c>
      <c r="I344" s="408">
        <f t="shared" si="121"/>
        <v>299040</v>
      </c>
      <c r="J344" s="418"/>
    </row>
    <row r="345" spans="1:10">
      <c r="A345" s="3"/>
      <c r="B345" s="409">
        <v>85403</v>
      </c>
      <c r="C345" s="414"/>
      <c r="D345" s="415" t="s">
        <v>182</v>
      </c>
      <c r="E345" s="416">
        <f>E352</f>
        <v>80000</v>
      </c>
      <c r="F345" s="416">
        <f t="shared" ref="F345:H345" si="122">F346+F348+F350+F352</f>
        <v>80000</v>
      </c>
      <c r="G345" s="416">
        <f t="shared" si="122"/>
        <v>80018</v>
      </c>
      <c r="H345" s="416">
        <f t="shared" si="122"/>
        <v>80000</v>
      </c>
      <c r="I345" s="416">
        <f>I346+I348+I350+I352+I354</f>
        <v>80000</v>
      </c>
    </row>
    <row r="346" spans="1:10" ht="45">
      <c r="A346" s="3"/>
      <c r="B346" s="409" t="s">
        <v>19</v>
      </c>
      <c r="C346" s="437" t="s">
        <v>92</v>
      </c>
      <c r="D346" s="438" t="s">
        <v>93</v>
      </c>
      <c r="E346" s="411">
        <f t="shared" si="117"/>
        <v>0</v>
      </c>
      <c r="F346" s="411">
        <f>F347</f>
        <v>0</v>
      </c>
      <c r="G346" s="411">
        <f>G347</f>
        <v>0</v>
      </c>
      <c r="H346" s="411">
        <f>H347</f>
        <v>0</v>
      </c>
      <c r="I346" s="411">
        <f>I347</f>
        <v>0</v>
      </c>
    </row>
    <row r="347" spans="1:10">
      <c r="A347" s="3"/>
      <c r="B347" s="4"/>
      <c r="C347" s="431"/>
      <c r="D347" s="432" t="s">
        <v>183</v>
      </c>
      <c r="E347" s="433">
        <f t="shared" si="117"/>
        <v>0</v>
      </c>
      <c r="F347" s="481">
        <f>'[1]budżet 31.08.2022'!H186</f>
        <v>0</v>
      </c>
      <c r="G347" s="433"/>
      <c r="H347" s="481">
        <v>0</v>
      </c>
      <c r="I347" s="433">
        <f>H347</f>
        <v>0</v>
      </c>
    </row>
    <row r="348" spans="1:10">
      <c r="A348" s="3"/>
      <c r="B348" s="409" t="s">
        <v>19</v>
      </c>
      <c r="C348" s="442" t="s">
        <v>47</v>
      </c>
      <c r="D348" s="479" t="s">
        <v>48</v>
      </c>
      <c r="E348" s="411">
        <f t="shared" si="117"/>
        <v>0</v>
      </c>
      <c r="F348" s="411">
        <f>F349</f>
        <v>0</v>
      </c>
      <c r="G348" s="411">
        <f>G349</f>
        <v>18</v>
      </c>
      <c r="H348" s="411">
        <f>H349</f>
        <v>0</v>
      </c>
      <c r="I348" s="411">
        <f>I349</f>
        <v>0</v>
      </c>
    </row>
    <row r="349" spans="1:10">
      <c r="A349" s="3"/>
      <c r="B349" s="4"/>
      <c r="C349" s="431"/>
      <c r="D349" s="432" t="s">
        <v>183</v>
      </c>
      <c r="E349" s="433">
        <f t="shared" si="117"/>
        <v>0</v>
      </c>
      <c r="F349" s="481">
        <f>'[1]budżet 31.08.2022'!H187</f>
        <v>0</v>
      </c>
      <c r="G349" s="433">
        <f>'Wykonanie 8 2025'!J190</f>
        <v>18</v>
      </c>
      <c r="H349" s="481">
        <v>0</v>
      </c>
      <c r="I349" s="433">
        <f>H349</f>
        <v>0</v>
      </c>
    </row>
    <row r="350" spans="1:10" ht="38.25">
      <c r="A350" s="3"/>
      <c r="B350" s="4" t="s">
        <v>19</v>
      </c>
      <c r="C350" s="4" t="s">
        <v>36</v>
      </c>
      <c r="D350" s="410" t="s">
        <v>37</v>
      </c>
      <c r="E350" s="411">
        <f t="shared" si="117"/>
        <v>0</v>
      </c>
      <c r="F350" s="411">
        <f t="shared" ref="F350:I350" si="123">F351</f>
        <v>0</v>
      </c>
      <c r="G350" s="411">
        <f t="shared" si="123"/>
        <v>0</v>
      </c>
      <c r="H350" s="411">
        <f t="shared" si="123"/>
        <v>0</v>
      </c>
      <c r="I350" s="411">
        <f t="shared" si="123"/>
        <v>0</v>
      </c>
    </row>
    <row r="351" spans="1:10">
      <c r="A351" s="3"/>
      <c r="B351" s="4"/>
      <c r="C351" s="431"/>
      <c r="D351" s="432" t="s">
        <v>183</v>
      </c>
      <c r="E351" s="433">
        <f t="shared" si="117"/>
        <v>0</v>
      </c>
      <c r="F351" s="433">
        <f>'[1]budżet 31.08.2022'!H188</f>
        <v>0</v>
      </c>
      <c r="G351" s="433">
        <v>0</v>
      </c>
      <c r="H351" s="433">
        <v>0</v>
      </c>
      <c r="I351" s="433">
        <f>H351</f>
        <v>0</v>
      </c>
    </row>
    <row r="352" spans="1:10">
      <c r="A352" s="3"/>
      <c r="B352" s="4" t="s">
        <v>19</v>
      </c>
      <c r="C352" s="4" t="s">
        <v>124</v>
      </c>
      <c r="D352" s="410" t="s">
        <v>184</v>
      </c>
      <c r="E352" s="411">
        <f>E353</f>
        <v>80000</v>
      </c>
      <c r="F352" s="411">
        <f t="shared" ref="F352:I352" si="124">F353</f>
        <v>80000</v>
      </c>
      <c r="G352" s="411">
        <f t="shared" si="124"/>
        <v>80000</v>
      </c>
      <c r="H352" s="411">
        <f t="shared" si="124"/>
        <v>80000</v>
      </c>
      <c r="I352" s="411">
        <f t="shared" si="124"/>
        <v>0</v>
      </c>
    </row>
    <row r="353" spans="1:9">
      <c r="A353" s="3"/>
      <c r="B353" s="4"/>
      <c r="C353" s="431"/>
      <c r="D353" s="432" t="s">
        <v>183</v>
      </c>
      <c r="E353" s="433">
        <v>80000</v>
      </c>
      <c r="F353" s="481">
        <f>'Wykonanie 8 2025'!H191</f>
        <v>80000</v>
      </c>
      <c r="G353" s="433">
        <v>80000</v>
      </c>
      <c r="H353" s="481">
        <v>80000</v>
      </c>
      <c r="I353" s="433">
        <v>0</v>
      </c>
    </row>
    <row r="354" spans="1:9">
      <c r="A354" s="3"/>
      <c r="B354" s="4" t="s">
        <v>19</v>
      </c>
      <c r="C354" s="4" t="s">
        <v>25</v>
      </c>
      <c r="D354" s="410" t="s">
        <v>26</v>
      </c>
      <c r="E354" s="411">
        <v>0</v>
      </c>
      <c r="F354" s="411">
        <v>0</v>
      </c>
      <c r="G354" s="411">
        <v>0</v>
      </c>
      <c r="H354" s="411">
        <v>0</v>
      </c>
      <c r="I354" s="411">
        <v>80000</v>
      </c>
    </row>
    <row r="355" spans="1:9">
      <c r="A355" s="3"/>
      <c r="B355" s="4"/>
      <c r="C355" s="431"/>
      <c r="D355" s="432" t="s">
        <v>183</v>
      </c>
      <c r="E355" s="433">
        <v>0</v>
      </c>
      <c r="F355" s="481">
        <v>0</v>
      </c>
      <c r="G355" s="433">
        <v>0</v>
      </c>
      <c r="H355" s="481">
        <v>0</v>
      </c>
      <c r="I355" s="433">
        <v>80000</v>
      </c>
    </row>
    <row r="356" spans="1:9" ht="15" customHeight="1">
      <c r="A356" s="6"/>
      <c r="B356" s="409">
        <v>85406</v>
      </c>
      <c r="C356" s="414"/>
      <c r="D356" s="415" t="s">
        <v>185</v>
      </c>
      <c r="E356" s="416">
        <f>E357</f>
        <v>3500</v>
      </c>
      <c r="F356" s="416">
        <f t="shared" ref="F356:I356" si="125">F357+F359+F362+F364+F366+F369+F371</f>
        <v>3500</v>
      </c>
      <c r="G356" s="416">
        <f t="shared" si="125"/>
        <v>3500</v>
      </c>
      <c r="H356" s="416">
        <f t="shared" si="125"/>
        <v>3500</v>
      </c>
      <c r="I356" s="416">
        <f t="shared" si="125"/>
        <v>3500</v>
      </c>
    </row>
    <row r="357" spans="1:9" ht="38.25">
      <c r="A357" s="3"/>
      <c r="B357" s="4" t="s">
        <v>19</v>
      </c>
      <c r="C357" s="4" t="s">
        <v>36</v>
      </c>
      <c r="D357" s="410" t="s">
        <v>37</v>
      </c>
      <c r="E357" s="411">
        <f>E358</f>
        <v>3500</v>
      </c>
      <c r="F357" s="411">
        <f t="shared" ref="F357:I357" si="126">F358</f>
        <v>3500</v>
      </c>
      <c r="G357" s="411">
        <f t="shared" si="126"/>
        <v>3500</v>
      </c>
      <c r="H357" s="411">
        <f t="shared" si="126"/>
        <v>3500</v>
      </c>
      <c r="I357" s="411">
        <f t="shared" si="126"/>
        <v>3500</v>
      </c>
    </row>
    <row r="358" spans="1:9">
      <c r="A358" s="3"/>
      <c r="B358" s="4"/>
      <c r="C358" s="431"/>
      <c r="D358" s="432" t="s">
        <v>187</v>
      </c>
      <c r="E358" s="433">
        <v>3500</v>
      </c>
      <c r="F358" s="433">
        <f>'Wykonanie 8 2025'!H192</f>
        <v>3500</v>
      </c>
      <c r="G358" s="433">
        <v>3500</v>
      </c>
      <c r="H358" s="433">
        <v>3500</v>
      </c>
      <c r="I358" s="433">
        <v>3500</v>
      </c>
    </row>
    <row r="359" spans="1:9">
      <c r="A359" s="3"/>
      <c r="B359" s="4" t="s">
        <v>19</v>
      </c>
      <c r="C359" s="482" t="s">
        <v>40</v>
      </c>
      <c r="D359" s="483" t="s">
        <v>41</v>
      </c>
      <c r="E359" s="411">
        <f t="shared" si="117"/>
        <v>0</v>
      </c>
      <c r="F359" s="411"/>
      <c r="G359" s="411"/>
      <c r="H359" s="411"/>
      <c r="I359" s="411"/>
    </row>
    <row r="360" spans="1:9">
      <c r="A360" s="3"/>
      <c r="B360" s="4"/>
      <c r="C360" s="431"/>
      <c r="D360" s="432" t="s">
        <v>186</v>
      </c>
      <c r="E360" s="433">
        <f t="shared" si="117"/>
        <v>0</v>
      </c>
      <c r="F360" s="433">
        <v>0</v>
      </c>
      <c r="G360" s="433">
        <v>0</v>
      </c>
      <c r="H360" s="433">
        <v>0</v>
      </c>
      <c r="I360" s="433">
        <f>H360</f>
        <v>0</v>
      </c>
    </row>
    <row r="361" spans="1:9">
      <c r="A361" s="3"/>
      <c r="B361" s="4"/>
      <c r="C361" s="431"/>
      <c r="D361" s="432" t="s">
        <v>187</v>
      </c>
      <c r="E361" s="433">
        <f t="shared" si="117"/>
        <v>0</v>
      </c>
      <c r="F361" s="433">
        <v>0</v>
      </c>
      <c r="G361" s="433">
        <v>0</v>
      </c>
      <c r="H361" s="433">
        <v>0</v>
      </c>
      <c r="I361" s="433">
        <f>H361</f>
        <v>0</v>
      </c>
    </row>
    <row r="362" spans="1:9">
      <c r="A362" s="3"/>
      <c r="B362" s="4" t="s">
        <v>19</v>
      </c>
      <c r="C362" s="4" t="s">
        <v>42</v>
      </c>
      <c r="D362" s="410" t="s">
        <v>43</v>
      </c>
      <c r="E362" s="411">
        <f t="shared" si="117"/>
        <v>0</v>
      </c>
      <c r="F362" s="411">
        <f t="shared" ref="F362:I362" si="127">F363</f>
        <v>0</v>
      </c>
      <c r="G362" s="411">
        <f t="shared" si="127"/>
        <v>0</v>
      </c>
      <c r="H362" s="411">
        <f t="shared" si="127"/>
        <v>0</v>
      </c>
      <c r="I362" s="411">
        <f t="shared" si="127"/>
        <v>0</v>
      </c>
    </row>
    <row r="363" spans="1:9">
      <c r="A363" s="3"/>
      <c r="B363" s="4"/>
      <c r="C363" s="431"/>
      <c r="D363" s="432" t="s">
        <v>188</v>
      </c>
      <c r="E363" s="433">
        <f t="shared" si="117"/>
        <v>0</v>
      </c>
      <c r="F363" s="433">
        <v>0</v>
      </c>
      <c r="G363" s="433">
        <v>0</v>
      </c>
      <c r="H363" s="433">
        <v>0</v>
      </c>
      <c r="I363" s="433">
        <f>H363</f>
        <v>0</v>
      </c>
    </row>
    <row r="364" spans="1:9" ht="17.25" customHeight="1">
      <c r="A364" s="3"/>
      <c r="B364" s="4" t="s">
        <v>19</v>
      </c>
      <c r="C364" s="441" t="s">
        <v>23</v>
      </c>
      <c r="D364" s="419" t="s">
        <v>24</v>
      </c>
      <c r="E364" s="411">
        <f t="shared" si="117"/>
        <v>0</v>
      </c>
      <c r="F364" s="411">
        <f t="shared" ref="F364:I364" si="128">F365</f>
        <v>0</v>
      </c>
      <c r="G364" s="411">
        <f t="shared" si="128"/>
        <v>0</v>
      </c>
      <c r="H364" s="411">
        <f t="shared" si="128"/>
        <v>0</v>
      </c>
      <c r="I364" s="411">
        <f t="shared" si="128"/>
        <v>0</v>
      </c>
    </row>
    <row r="365" spans="1:9">
      <c r="A365" s="3"/>
      <c r="B365" s="4"/>
      <c r="C365" s="431"/>
      <c r="D365" s="432" t="s">
        <v>186</v>
      </c>
      <c r="E365" s="433">
        <f t="shared" si="117"/>
        <v>0</v>
      </c>
      <c r="F365" s="433">
        <v>0</v>
      </c>
      <c r="G365" s="433">
        <v>0</v>
      </c>
      <c r="H365" s="433">
        <v>0</v>
      </c>
      <c r="I365" s="433">
        <f>H365</f>
        <v>0</v>
      </c>
    </row>
    <row r="366" spans="1:9">
      <c r="A366" s="3"/>
      <c r="B366" s="4" t="s">
        <v>19</v>
      </c>
      <c r="C366" s="4" t="s">
        <v>58</v>
      </c>
      <c r="D366" s="410" t="s">
        <v>59</v>
      </c>
      <c r="E366" s="411">
        <f t="shared" si="117"/>
        <v>0</v>
      </c>
      <c r="F366" s="411">
        <f t="shared" ref="F366:I366" si="129">F367+F368</f>
        <v>0</v>
      </c>
      <c r="G366" s="411">
        <f t="shared" si="129"/>
        <v>0</v>
      </c>
      <c r="H366" s="411">
        <f t="shared" si="129"/>
        <v>0</v>
      </c>
      <c r="I366" s="411">
        <f t="shared" si="129"/>
        <v>0</v>
      </c>
    </row>
    <row r="367" spans="1:9">
      <c r="A367" s="3"/>
      <c r="B367" s="4"/>
      <c r="C367" s="431"/>
      <c r="D367" s="432" t="s">
        <v>186</v>
      </c>
      <c r="E367" s="433">
        <f t="shared" si="117"/>
        <v>0</v>
      </c>
      <c r="F367" s="433">
        <v>0</v>
      </c>
      <c r="G367" s="433">
        <v>0</v>
      </c>
      <c r="H367" s="433">
        <v>0</v>
      </c>
      <c r="I367" s="433">
        <f>H367</f>
        <v>0</v>
      </c>
    </row>
    <row r="368" spans="1:9">
      <c r="A368" s="3"/>
      <c r="B368" s="4"/>
      <c r="C368" s="431"/>
      <c r="D368" s="432" t="s">
        <v>187</v>
      </c>
      <c r="E368" s="433">
        <f t="shared" si="117"/>
        <v>0</v>
      </c>
      <c r="F368" s="433">
        <v>0</v>
      </c>
      <c r="G368" s="433">
        <v>0</v>
      </c>
      <c r="H368" s="433">
        <v>0</v>
      </c>
      <c r="I368" s="433">
        <f>H368</f>
        <v>0</v>
      </c>
    </row>
    <row r="369" spans="1:11" ht="18" customHeight="1">
      <c r="A369" s="3"/>
      <c r="B369" s="4" t="s">
        <v>19</v>
      </c>
      <c r="C369" s="441" t="s">
        <v>58</v>
      </c>
      <c r="D369" s="419" t="s">
        <v>59</v>
      </c>
      <c r="E369" s="411">
        <f t="shared" si="117"/>
        <v>0</v>
      </c>
      <c r="F369" s="411">
        <f t="shared" ref="F369:I369" si="130">F370</f>
        <v>0</v>
      </c>
      <c r="G369" s="411">
        <f t="shared" si="130"/>
        <v>0</v>
      </c>
      <c r="H369" s="411">
        <f t="shared" si="130"/>
        <v>0</v>
      </c>
      <c r="I369" s="411">
        <f t="shared" si="130"/>
        <v>0</v>
      </c>
    </row>
    <row r="370" spans="1:11">
      <c r="A370" s="3"/>
      <c r="B370" s="4"/>
      <c r="C370" s="431"/>
      <c r="D370" s="432" t="s">
        <v>186</v>
      </c>
      <c r="E370" s="433">
        <f t="shared" si="117"/>
        <v>0</v>
      </c>
      <c r="F370" s="433">
        <v>0</v>
      </c>
      <c r="G370" s="433">
        <v>0</v>
      </c>
      <c r="H370" s="433">
        <v>0</v>
      </c>
      <c r="I370" s="433">
        <f>H370</f>
        <v>0</v>
      </c>
    </row>
    <row r="371" spans="1:11">
      <c r="A371" s="3"/>
      <c r="B371" s="4" t="s">
        <v>19</v>
      </c>
      <c r="C371" s="4" t="s">
        <v>25</v>
      </c>
      <c r="D371" s="423" t="s">
        <v>26</v>
      </c>
      <c r="E371" s="411">
        <f t="shared" si="117"/>
        <v>0</v>
      </c>
      <c r="F371" s="411">
        <f t="shared" ref="F371:I371" si="131">F372+F373</f>
        <v>0</v>
      </c>
      <c r="G371" s="411">
        <f t="shared" si="131"/>
        <v>0</v>
      </c>
      <c r="H371" s="411">
        <f t="shared" si="131"/>
        <v>0</v>
      </c>
      <c r="I371" s="411">
        <f t="shared" si="131"/>
        <v>0</v>
      </c>
    </row>
    <row r="372" spans="1:11">
      <c r="A372" s="3"/>
      <c r="B372" s="4"/>
      <c r="C372" s="431"/>
      <c r="D372" s="432" t="s">
        <v>186</v>
      </c>
      <c r="E372" s="433">
        <f t="shared" si="117"/>
        <v>0</v>
      </c>
      <c r="F372" s="433">
        <v>0</v>
      </c>
      <c r="G372" s="433">
        <v>0</v>
      </c>
      <c r="H372" s="433">
        <v>0</v>
      </c>
      <c r="I372" s="433">
        <f>H372</f>
        <v>0</v>
      </c>
    </row>
    <row r="373" spans="1:11">
      <c r="A373" s="3"/>
      <c r="B373" s="4"/>
      <c r="C373" s="431"/>
      <c r="D373" s="432" t="s">
        <v>187</v>
      </c>
      <c r="E373" s="433">
        <f t="shared" si="117"/>
        <v>0</v>
      </c>
      <c r="F373" s="433">
        <v>0</v>
      </c>
      <c r="G373" s="433">
        <v>0</v>
      </c>
      <c r="H373" s="433">
        <v>0</v>
      </c>
      <c r="I373" s="433">
        <f>H373</f>
        <v>0</v>
      </c>
    </row>
    <row r="374" spans="1:11">
      <c r="A374" s="3"/>
      <c r="B374" s="409">
        <v>85410</v>
      </c>
      <c r="C374" s="414"/>
      <c r="D374" s="415" t="s">
        <v>189</v>
      </c>
      <c r="E374" s="416">
        <f>E375</f>
        <v>232900</v>
      </c>
      <c r="F374" s="416">
        <f t="shared" ref="F374:I374" si="132">F375+F377</f>
        <v>232900</v>
      </c>
      <c r="G374" s="416">
        <f t="shared" si="132"/>
        <v>247566.01</v>
      </c>
      <c r="H374" s="416">
        <f t="shared" si="132"/>
        <v>215540</v>
      </c>
      <c r="I374" s="416">
        <f t="shared" si="132"/>
        <v>215540</v>
      </c>
    </row>
    <row r="375" spans="1:11">
      <c r="A375" s="3"/>
      <c r="B375" s="4" t="s">
        <v>19</v>
      </c>
      <c r="C375" s="4" t="s">
        <v>124</v>
      </c>
      <c r="D375" s="410" t="s">
        <v>125</v>
      </c>
      <c r="E375" s="411">
        <f>E376</f>
        <v>232900</v>
      </c>
      <c r="F375" s="411">
        <f t="shared" ref="F375:I377" si="133">F376</f>
        <v>232900</v>
      </c>
      <c r="G375" s="411">
        <f t="shared" si="133"/>
        <v>247566.01</v>
      </c>
      <c r="H375" s="411">
        <f t="shared" si="133"/>
        <v>215540</v>
      </c>
      <c r="I375" s="411">
        <f t="shared" si="133"/>
        <v>50840</v>
      </c>
    </row>
    <row r="376" spans="1:11">
      <c r="A376" s="3"/>
      <c r="B376" s="4"/>
      <c r="C376" s="431"/>
      <c r="D376" s="432" t="s">
        <v>122</v>
      </c>
      <c r="E376" s="433">
        <v>232900</v>
      </c>
      <c r="F376" s="433">
        <f>'Wykonanie 8 2025'!H196</f>
        <v>232900</v>
      </c>
      <c r="G376" s="433">
        <v>247566.01</v>
      </c>
      <c r="H376" s="433">
        <v>215540</v>
      </c>
      <c r="I376" s="433">
        <v>50840</v>
      </c>
      <c r="K376" s="496"/>
    </row>
    <row r="377" spans="1:11">
      <c r="A377" s="3"/>
      <c r="B377" s="4" t="s">
        <v>19</v>
      </c>
      <c r="C377" s="4" t="s">
        <v>25</v>
      </c>
      <c r="D377" s="423" t="s">
        <v>26</v>
      </c>
      <c r="E377" s="411">
        <f t="shared" si="117"/>
        <v>164700</v>
      </c>
      <c r="F377" s="411">
        <f t="shared" si="133"/>
        <v>0</v>
      </c>
      <c r="G377" s="411">
        <f t="shared" si="133"/>
        <v>0</v>
      </c>
      <c r="H377" s="411">
        <f t="shared" si="133"/>
        <v>0</v>
      </c>
      <c r="I377" s="411">
        <f t="shared" si="133"/>
        <v>164700</v>
      </c>
    </row>
    <row r="378" spans="1:11">
      <c r="A378" s="3"/>
      <c r="B378" s="4"/>
      <c r="C378" s="431"/>
      <c r="D378" s="432" t="s">
        <v>122</v>
      </c>
      <c r="E378" s="433">
        <f t="shared" si="117"/>
        <v>164700</v>
      </c>
      <c r="F378" s="433">
        <v>0</v>
      </c>
      <c r="G378" s="433">
        <v>0</v>
      </c>
      <c r="H378" s="433">
        <v>0</v>
      </c>
      <c r="I378" s="433">
        <v>164700</v>
      </c>
    </row>
    <row r="379" spans="1:11">
      <c r="A379" s="3"/>
      <c r="B379" s="4" t="s">
        <v>632</v>
      </c>
      <c r="C379" s="414"/>
      <c r="D379" s="415" t="s">
        <v>297</v>
      </c>
      <c r="E379" s="416">
        <f t="shared" si="117"/>
        <v>0</v>
      </c>
      <c r="F379" s="416">
        <f t="shared" ref="F379:I379" si="134">F380</f>
        <v>0</v>
      </c>
      <c r="G379" s="416">
        <f t="shared" si="134"/>
        <v>0</v>
      </c>
      <c r="H379" s="416">
        <f t="shared" si="134"/>
        <v>0</v>
      </c>
      <c r="I379" s="416">
        <f t="shared" si="134"/>
        <v>0</v>
      </c>
    </row>
    <row r="380" spans="1:11" ht="51">
      <c r="A380" s="3"/>
      <c r="B380" s="13" t="s">
        <v>19</v>
      </c>
      <c r="C380" s="13" t="s">
        <v>60</v>
      </c>
      <c r="D380" s="465" t="s">
        <v>158</v>
      </c>
      <c r="E380" s="422">
        <f t="shared" si="117"/>
        <v>0</v>
      </c>
      <c r="F380" s="422">
        <v>0</v>
      </c>
      <c r="G380" s="422">
        <v>0</v>
      </c>
      <c r="H380" s="422">
        <v>0</v>
      </c>
      <c r="I380" s="422">
        <v>0</v>
      </c>
    </row>
    <row r="381" spans="1:11">
      <c r="A381" s="6"/>
      <c r="B381" s="409">
        <v>85446</v>
      </c>
      <c r="C381" s="414"/>
      <c r="D381" s="415" t="s">
        <v>274</v>
      </c>
      <c r="E381" s="416">
        <f t="shared" si="117"/>
        <v>0</v>
      </c>
      <c r="F381" s="416">
        <f t="shared" ref="F381:I381" si="135">F382+F384</f>
        <v>0</v>
      </c>
      <c r="G381" s="416">
        <f t="shared" si="135"/>
        <v>0</v>
      </c>
      <c r="H381" s="416">
        <f t="shared" si="135"/>
        <v>0</v>
      </c>
      <c r="I381" s="416">
        <f t="shared" si="135"/>
        <v>0</v>
      </c>
    </row>
    <row r="382" spans="1:11">
      <c r="A382" s="3"/>
      <c r="B382" s="4" t="s">
        <v>19</v>
      </c>
      <c r="C382" s="4" t="s">
        <v>58</v>
      </c>
      <c r="D382" s="410" t="s">
        <v>59</v>
      </c>
      <c r="E382" s="411">
        <f t="shared" si="117"/>
        <v>0</v>
      </c>
      <c r="F382" s="411">
        <f t="shared" ref="F382:I382" si="136">F383</f>
        <v>0</v>
      </c>
      <c r="G382" s="411">
        <f t="shared" si="136"/>
        <v>0</v>
      </c>
      <c r="H382" s="411">
        <f t="shared" si="136"/>
        <v>0</v>
      </c>
      <c r="I382" s="411">
        <f t="shared" si="136"/>
        <v>0</v>
      </c>
    </row>
    <row r="383" spans="1:11">
      <c r="A383" s="3"/>
      <c r="B383" s="4"/>
      <c r="C383" s="431"/>
      <c r="D383" s="432" t="s">
        <v>186</v>
      </c>
      <c r="E383" s="433">
        <f t="shared" si="117"/>
        <v>0</v>
      </c>
      <c r="F383" s="433">
        <v>0</v>
      </c>
      <c r="G383" s="433">
        <v>0</v>
      </c>
      <c r="H383" s="433">
        <v>0</v>
      </c>
      <c r="I383" s="433">
        <f>H383</f>
        <v>0</v>
      </c>
    </row>
    <row r="384" spans="1:11">
      <c r="A384" s="3"/>
      <c r="B384" s="4" t="s">
        <v>19</v>
      </c>
      <c r="C384" s="4" t="s">
        <v>25</v>
      </c>
      <c r="D384" s="423" t="s">
        <v>26</v>
      </c>
      <c r="E384" s="411">
        <f t="shared" si="117"/>
        <v>0</v>
      </c>
      <c r="F384" s="411">
        <f t="shared" ref="F384:I384" si="137">F385+F386</f>
        <v>0</v>
      </c>
      <c r="G384" s="411">
        <f t="shared" si="137"/>
        <v>0</v>
      </c>
      <c r="H384" s="411">
        <f t="shared" si="137"/>
        <v>0</v>
      </c>
      <c r="I384" s="411">
        <f t="shared" si="137"/>
        <v>0</v>
      </c>
    </row>
    <row r="385" spans="1:10">
      <c r="A385" s="3"/>
      <c r="B385" s="4"/>
      <c r="C385" s="431"/>
      <c r="D385" s="432" t="s">
        <v>186</v>
      </c>
      <c r="E385" s="433">
        <f t="shared" si="117"/>
        <v>0</v>
      </c>
      <c r="F385" s="433">
        <v>0</v>
      </c>
      <c r="G385" s="433">
        <v>0</v>
      </c>
      <c r="H385" s="433">
        <v>0</v>
      </c>
      <c r="I385" s="433">
        <f>H385</f>
        <v>0</v>
      </c>
    </row>
    <row r="386" spans="1:10">
      <c r="A386" s="3"/>
      <c r="B386" s="4"/>
      <c r="C386" s="431"/>
      <c r="D386" s="432" t="s">
        <v>187</v>
      </c>
      <c r="E386" s="433">
        <f t="shared" si="117"/>
        <v>0</v>
      </c>
      <c r="F386" s="433">
        <v>0</v>
      </c>
      <c r="G386" s="433">
        <v>0</v>
      </c>
      <c r="H386" s="433">
        <v>0</v>
      </c>
      <c r="I386" s="433">
        <f>H386</f>
        <v>0</v>
      </c>
    </row>
    <row r="387" spans="1:10">
      <c r="A387" s="368">
        <v>855</v>
      </c>
      <c r="B387" s="405"/>
      <c r="C387" s="406"/>
      <c r="D387" s="484" t="s">
        <v>190</v>
      </c>
      <c r="E387" s="408">
        <f>E388+E405+E422</f>
        <v>4572000</v>
      </c>
      <c r="F387" s="408">
        <f>F388+F405+F422</f>
        <v>5739604</v>
      </c>
      <c r="G387" s="408">
        <f>G388+G405+G422</f>
        <v>6439802.7999999998</v>
      </c>
      <c r="H387" s="408">
        <f>H388+H405+H422</f>
        <v>4566200</v>
      </c>
      <c r="I387" s="408">
        <f>I388+I405+I422</f>
        <v>5220000</v>
      </c>
      <c r="J387" s="418"/>
    </row>
    <row r="388" spans="1:10">
      <c r="A388" s="3"/>
      <c r="B388" s="409">
        <v>85508</v>
      </c>
      <c r="C388" s="414"/>
      <c r="D388" s="415" t="s">
        <v>191</v>
      </c>
      <c r="E388" s="416">
        <f t="shared" ref="E388:G388" si="138">E389+E391+E393+E395+E397+E399+E400+E401+E402+E403</f>
        <v>1810000</v>
      </c>
      <c r="F388" s="416">
        <f t="shared" si="138"/>
        <v>2110392</v>
      </c>
      <c r="G388" s="416">
        <f t="shared" si="138"/>
        <v>2616591.7999999998</v>
      </c>
      <c r="H388" s="416">
        <f>H389+H391+H393+H395+H397+H399+H400+H401+H402+H403</f>
        <v>2060000</v>
      </c>
      <c r="I388" s="416">
        <f>I389+I391+I393+I395+I397+I399+I400+I401+I402+I403</f>
        <v>2600000</v>
      </c>
    </row>
    <row r="389" spans="1:10" ht="25.5">
      <c r="A389" s="3"/>
      <c r="B389" s="428" t="s">
        <v>19</v>
      </c>
      <c r="C389" s="417" t="s">
        <v>34</v>
      </c>
      <c r="D389" s="423" t="s">
        <v>35</v>
      </c>
      <c r="E389" s="411">
        <v>0</v>
      </c>
      <c r="F389" s="411">
        <f t="shared" ref="F389:I389" si="139">F390</f>
        <v>0</v>
      </c>
      <c r="G389" s="411">
        <f t="shared" si="139"/>
        <v>82.8</v>
      </c>
      <c r="H389" s="411">
        <f t="shared" si="139"/>
        <v>0</v>
      </c>
      <c r="I389" s="411">
        <f t="shared" si="139"/>
        <v>0</v>
      </c>
    </row>
    <row r="390" spans="1:10">
      <c r="A390" s="3"/>
      <c r="B390" s="485"/>
      <c r="C390" s="431"/>
      <c r="D390" s="432" t="s">
        <v>147</v>
      </c>
      <c r="E390" s="433">
        <v>0</v>
      </c>
      <c r="F390" s="433">
        <v>0</v>
      </c>
      <c r="G390" s="433">
        <f>'Wykonanie 8 2025'!J198</f>
        <v>82.8</v>
      </c>
      <c r="H390" s="433">
        <v>0</v>
      </c>
      <c r="I390" s="433">
        <v>0</v>
      </c>
    </row>
    <row r="391" spans="1:10" ht="25.5">
      <c r="A391" s="3"/>
      <c r="B391" s="428" t="s">
        <v>19</v>
      </c>
      <c r="C391" s="417" t="s">
        <v>192</v>
      </c>
      <c r="D391" s="423" t="s">
        <v>193</v>
      </c>
      <c r="E391" s="411">
        <v>30000</v>
      </c>
      <c r="F391" s="411">
        <f t="shared" ref="F391:I391" si="140">F392</f>
        <v>30000</v>
      </c>
      <c r="G391" s="411">
        <f t="shared" si="140"/>
        <v>52335</v>
      </c>
      <c r="H391" s="411">
        <f t="shared" si="140"/>
        <v>30000</v>
      </c>
      <c r="I391" s="411">
        <f t="shared" si="140"/>
        <v>50000</v>
      </c>
    </row>
    <row r="392" spans="1:10">
      <c r="A392" s="3"/>
      <c r="B392" s="485"/>
      <c r="C392" s="431"/>
      <c r="D392" s="432" t="s">
        <v>147</v>
      </c>
      <c r="E392" s="433">
        <v>30000</v>
      </c>
      <c r="F392" s="433">
        <f>'Wykonanie 8 2025'!H199</f>
        <v>30000</v>
      </c>
      <c r="G392" s="433">
        <v>52335</v>
      </c>
      <c r="H392" s="433">
        <v>30000</v>
      </c>
      <c r="I392" s="433">
        <v>50000</v>
      </c>
    </row>
    <row r="393" spans="1:10">
      <c r="A393" s="3"/>
      <c r="B393" s="486" t="s">
        <v>19</v>
      </c>
      <c r="C393" s="4" t="s">
        <v>124</v>
      </c>
      <c r="D393" s="410" t="s">
        <v>175</v>
      </c>
      <c r="E393" s="411">
        <v>0</v>
      </c>
      <c r="F393" s="411">
        <f t="shared" ref="F393:I393" si="141">F394</f>
        <v>0</v>
      </c>
      <c r="G393" s="411">
        <f t="shared" si="141"/>
        <v>0</v>
      </c>
      <c r="H393" s="411">
        <f t="shared" si="141"/>
        <v>0</v>
      </c>
      <c r="I393" s="411">
        <f t="shared" si="141"/>
        <v>0</v>
      </c>
    </row>
    <row r="394" spans="1:10">
      <c r="A394" s="10"/>
      <c r="B394" s="487"/>
      <c r="C394" s="488"/>
      <c r="D394" s="432" t="s">
        <v>147</v>
      </c>
      <c r="E394" s="433">
        <v>0</v>
      </c>
      <c r="F394" s="489">
        <v>0</v>
      </c>
      <c r="G394" s="489">
        <v>0</v>
      </c>
      <c r="H394" s="489">
        <v>0</v>
      </c>
      <c r="I394" s="433">
        <f>H394</f>
        <v>0</v>
      </c>
    </row>
    <row r="395" spans="1:10">
      <c r="A395" s="11"/>
      <c r="B395" s="448" t="s">
        <v>19</v>
      </c>
      <c r="C395" s="4" t="s">
        <v>40</v>
      </c>
      <c r="D395" s="410" t="s">
        <v>41</v>
      </c>
      <c r="E395" s="411">
        <v>30000</v>
      </c>
      <c r="F395" s="411">
        <f t="shared" ref="F395:I395" si="142">F396</f>
        <v>30000</v>
      </c>
      <c r="G395" s="411">
        <f t="shared" si="142"/>
        <v>50162</v>
      </c>
      <c r="H395" s="411">
        <f t="shared" si="142"/>
        <v>30000</v>
      </c>
      <c r="I395" s="411">
        <f t="shared" si="142"/>
        <v>50000</v>
      </c>
    </row>
    <row r="396" spans="1:10">
      <c r="A396" s="11"/>
      <c r="B396" s="487"/>
      <c r="C396" s="488"/>
      <c r="D396" s="432" t="s">
        <v>147</v>
      </c>
      <c r="E396" s="433">
        <v>30000</v>
      </c>
      <c r="F396" s="489">
        <f>'Wykonanie 8 2025'!H200</f>
        <v>30000</v>
      </c>
      <c r="G396" s="489">
        <v>50162</v>
      </c>
      <c r="H396" s="489">
        <v>30000</v>
      </c>
      <c r="I396" s="433">
        <v>50000</v>
      </c>
    </row>
    <row r="397" spans="1:10">
      <c r="A397" s="11"/>
      <c r="B397" s="448" t="s">
        <v>19</v>
      </c>
      <c r="C397" s="4" t="s">
        <v>42</v>
      </c>
      <c r="D397" s="410" t="s">
        <v>43</v>
      </c>
      <c r="E397" s="411">
        <v>0</v>
      </c>
      <c r="F397" s="411">
        <f t="shared" ref="F397:I397" si="143">F398</f>
        <v>0</v>
      </c>
      <c r="G397" s="411">
        <f t="shared" si="143"/>
        <v>1381</v>
      </c>
      <c r="H397" s="411">
        <f t="shared" si="143"/>
        <v>0</v>
      </c>
      <c r="I397" s="411">
        <f t="shared" si="143"/>
        <v>0</v>
      </c>
    </row>
    <row r="398" spans="1:10">
      <c r="A398" s="11"/>
      <c r="B398" s="487"/>
      <c r="C398" s="488"/>
      <c r="D398" s="432" t="s">
        <v>147</v>
      </c>
      <c r="E398" s="433">
        <v>0</v>
      </c>
      <c r="F398" s="489">
        <v>0</v>
      </c>
      <c r="G398" s="489">
        <f>'Wykonanie 8 2025'!J201</f>
        <v>1381</v>
      </c>
      <c r="H398" s="489">
        <v>0</v>
      </c>
      <c r="I398" s="433">
        <v>0</v>
      </c>
    </row>
    <row r="399" spans="1:10" ht="25.5">
      <c r="A399" s="11"/>
      <c r="B399" s="409" t="s">
        <v>19</v>
      </c>
      <c r="C399" s="4" t="s">
        <v>650</v>
      </c>
      <c r="D399" s="410" t="s">
        <v>718</v>
      </c>
      <c r="E399" s="411">
        <v>0</v>
      </c>
      <c r="F399" s="490">
        <v>0</v>
      </c>
      <c r="G399" s="490">
        <v>0</v>
      </c>
      <c r="H399" s="490">
        <v>0</v>
      </c>
      <c r="I399" s="411">
        <v>0</v>
      </c>
    </row>
    <row r="400" spans="1:10" ht="25.5">
      <c r="A400" s="11"/>
      <c r="B400" s="409" t="s">
        <v>19</v>
      </c>
      <c r="C400" s="428" t="s">
        <v>118</v>
      </c>
      <c r="D400" s="410" t="s">
        <v>157</v>
      </c>
      <c r="E400" s="411">
        <v>0</v>
      </c>
      <c r="F400" s="490">
        <f>'Wykonanie 8 2025'!H203</f>
        <v>53631</v>
      </c>
      <c r="G400" s="490">
        <f>F400</f>
        <v>53631</v>
      </c>
      <c r="H400" s="490"/>
      <c r="I400" s="569">
        <v>0</v>
      </c>
    </row>
    <row r="401" spans="1:9" ht="38.25">
      <c r="A401" s="11"/>
      <c r="B401" s="448" t="s">
        <v>12</v>
      </c>
      <c r="C401" s="428" t="s">
        <v>13</v>
      </c>
      <c r="D401" s="410" t="s">
        <v>14</v>
      </c>
      <c r="E401" s="411">
        <v>0</v>
      </c>
      <c r="F401" s="490">
        <f>'Wykonanie 8 2025'!H202</f>
        <v>19185</v>
      </c>
      <c r="G401" s="490"/>
      <c r="H401" s="490">
        <v>0</v>
      </c>
      <c r="I401" s="411">
        <f>H401</f>
        <v>0</v>
      </c>
    </row>
    <row r="402" spans="1:9" ht="26.25" customHeight="1">
      <c r="A402" s="11"/>
      <c r="B402" s="4" t="s">
        <v>19</v>
      </c>
      <c r="C402" s="4" t="s">
        <v>179</v>
      </c>
      <c r="D402" s="410" t="s">
        <v>726</v>
      </c>
      <c r="E402" s="411">
        <v>0</v>
      </c>
      <c r="F402" s="490">
        <f>'Wykonanie 8 2025'!H204</f>
        <v>227576</v>
      </c>
      <c r="G402" s="490">
        <v>0</v>
      </c>
      <c r="H402" s="490">
        <v>0</v>
      </c>
      <c r="I402" s="411">
        <v>0</v>
      </c>
    </row>
    <row r="403" spans="1:9" ht="38.25">
      <c r="A403" s="11"/>
      <c r="B403" s="409" t="s">
        <v>19</v>
      </c>
      <c r="C403" s="4" t="s">
        <v>148</v>
      </c>
      <c r="D403" s="410" t="s">
        <v>149</v>
      </c>
      <c r="E403" s="411">
        <v>1750000</v>
      </c>
      <c r="F403" s="411">
        <f>F404</f>
        <v>1750000</v>
      </c>
      <c r="G403" s="411">
        <v>2459000</v>
      </c>
      <c r="H403" s="411">
        <f t="shared" ref="H403:I403" si="144">H404</f>
        <v>2000000</v>
      </c>
      <c r="I403" s="411">
        <f t="shared" si="144"/>
        <v>2500000</v>
      </c>
    </row>
    <row r="404" spans="1:9">
      <c r="A404" s="11"/>
      <c r="B404" s="487"/>
      <c r="C404" s="488"/>
      <c r="D404" s="432" t="s">
        <v>147</v>
      </c>
      <c r="E404" s="433">
        <v>1750000</v>
      </c>
      <c r="F404" s="489">
        <f>'Wykonanie 8 2025'!H206</f>
        <v>1750000</v>
      </c>
      <c r="G404" s="489">
        <v>2459000</v>
      </c>
      <c r="H404" s="489">
        <v>2000000</v>
      </c>
      <c r="I404" s="433">
        <v>2500000</v>
      </c>
    </row>
    <row r="405" spans="1:9">
      <c r="A405" s="3"/>
      <c r="B405" s="409">
        <v>85510</v>
      </c>
      <c r="C405" s="414"/>
      <c r="D405" s="415" t="s">
        <v>194</v>
      </c>
      <c r="E405" s="416">
        <f t="shared" ref="E405:H405" si="145">E406+E408+E410+E415+E413+E417+E418+E419+E420</f>
        <v>2762000</v>
      </c>
      <c r="F405" s="416">
        <f t="shared" si="145"/>
        <v>3629212</v>
      </c>
      <c r="G405" s="416">
        <f t="shared" si="145"/>
        <v>3823211</v>
      </c>
      <c r="H405" s="416">
        <f t="shared" si="145"/>
        <v>2506200</v>
      </c>
      <c r="I405" s="416">
        <f>I406+I408+I410+I415+I413+I417+I418+I419+I420</f>
        <v>2620000</v>
      </c>
    </row>
    <row r="406" spans="1:9" ht="25.5">
      <c r="A406" s="3"/>
      <c r="B406" s="428" t="s">
        <v>19</v>
      </c>
      <c r="C406" s="417" t="s">
        <v>34</v>
      </c>
      <c r="D406" s="423" t="s">
        <v>35</v>
      </c>
      <c r="E406" s="411">
        <v>0</v>
      </c>
      <c r="F406" s="411">
        <f t="shared" ref="F406:I406" si="146">F407</f>
        <v>0</v>
      </c>
      <c r="G406" s="411">
        <f t="shared" si="146"/>
        <v>0</v>
      </c>
      <c r="H406" s="411">
        <f t="shared" si="146"/>
        <v>0</v>
      </c>
      <c r="I406" s="411">
        <f t="shared" si="146"/>
        <v>0</v>
      </c>
    </row>
    <row r="407" spans="1:9">
      <c r="A407" s="3"/>
      <c r="B407" s="485"/>
      <c r="C407" s="431"/>
      <c r="D407" s="432" t="s">
        <v>147</v>
      </c>
      <c r="E407" s="433">
        <v>0</v>
      </c>
      <c r="F407" s="433">
        <f>'[1]budżet 31.08.2022'!H205</f>
        <v>0</v>
      </c>
      <c r="G407" s="433">
        <f>'Wykonanie 8 2025'!J207</f>
        <v>0</v>
      </c>
      <c r="H407" s="433">
        <v>0</v>
      </c>
      <c r="I407" s="433">
        <v>0</v>
      </c>
    </row>
    <row r="408" spans="1:9" ht="25.5">
      <c r="A408" s="3"/>
      <c r="B408" s="428" t="s">
        <v>19</v>
      </c>
      <c r="C408" s="417" t="s">
        <v>192</v>
      </c>
      <c r="D408" s="423" t="s">
        <v>193</v>
      </c>
      <c r="E408" s="411">
        <v>10000</v>
      </c>
      <c r="F408" s="411">
        <f>F409</f>
        <v>10000</v>
      </c>
      <c r="G408" s="411">
        <f>G409</f>
        <v>4186</v>
      </c>
      <c r="H408" s="411">
        <f>H409</f>
        <v>4200</v>
      </c>
      <c r="I408" s="411">
        <f>I409</f>
        <v>10000</v>
      </c>
    </row>
    <row r="409" spans="1:9">
      <c r="A409" s="3"/>
      <c r="B409" s="485"/>
      <c r="C409" s="431"/>
      <c r="D409" s="432" t="s">
        <v>147</v>
      </c>
      <c r="E409" s="433">
        <v>10000</v>
      </c>
      <c r="F409" s="433">
        <f>'Wykonanie 8 2025'!H208</f>
        <v>10000</v>
      </c>
      <c r="G409" s="433">
        <v>4186</v>
      </c>
      <c r="H409" s="433">
        <v>4200</v>
      </c>
      <c r="I409" s="433">
        <v>10000</v>
      </c>
    </row>
    <row r="410" spans="1:9">
      <c r="A410" s="3"/>
      <c r="B410" s="486" t="s">
        <v>19</v>
      </c>
      <c r="C410" s="417" t="s">
        <v>40</v>
      </c>
      <c r="D410" s="423" t="s">
        <v>41</v>
      </c>
      <c r="E410" s="411">
        <v>2000</v>
      </c>
      <c r="F410" s="411">
        <f t="shared" ref="F410:I410" si="147">F411+F412</f>
        <v>2000</v>
      </c>
      <c r="G410" s="411">
        <f t="shared" si="147"/>
        <v>10813</v>
      </c>
      <c r="H410" s="411">
        <f t="shared" si="147"/>
        <v>2000</v>
      </c>
      <c r="I410" s="411">
        <f t="shared" si="147"/>
        <v>10000</v>
      </c>
    </row>
    <row r="411" spans="1:9">
      <c r="A411" s="10"/>
      <c r="B411" s="487"/>
      <c r="C411" s="488"/>
      <c r="D411" s="432" t="s">
        <v>147</v>
      </c>
      <c r="E411" s="433">
        <v>2000</v>
      </c>
      <c r="F411" s="489">
        <f>'Wykonanie 8 2025'!H209</f>
        <v>2000</v>
      </c>
      <c r="G411" s="489">
        <v>3813</v>
      </c>
      <c r="H411" s="489">
        <v>2000</v>
      </c>
      <c r="I411" s="433">
        <v>10000</v>
      </c>
    </row>
    <row r="412" spans="1:9">
      <c r="A412" s="11"/>
      <c r="B412" s="487"/>
      <c r="C412" s="488"/>
      <c r="D412" s="491" t="s">
        <v>195</v>
      </c>
      <c r="E412" s="433">
        <v>0</v>
      </c>
      <c r="F412" s="489">
        <v>0</v>
      </c>
      <c r="G412" s="489">
        <v>7000</v>
      </c>
      <c r="H412" s="489">
        <v>0</v>
      </c>
      <c r="I412" s="433"/>
    </row>
    <row r="413" spans="1:9">
      <c r="A413" s="11"/>
      <c r="B413" s="4" t="s">
        <v>19</v>
      </c>
      <c r="C413" s="4" t="s">
        <v>58</v>
      </c>
      <c r="D413" s="410" t="s">
        <v>59</v>
      </c>
      <c r="E413" s="411">
        <v>0</v>
      </c>
      <c r="F413" s="411">
        <f>F414</f>
        <v>0</v>
      </c>
      <c r="G413" s="411">
        <f>G414</f>
        <v>0</v>
      </c>
      <c r="H413" s="411">
        <f>H414</f>
        <v>0</v>
      </c>
      <c r="I413" s="411">
        <f>I414</f>
        <v>0</v>
      </c>
    </row>
    <row r="414" spans="1:9">
      <c r="A414" s="11"/>
      <c r="B414" s="485"/>
      <c r="C414" s="431"/>
      <c r="D414" s="432" t="s">
        <v>196</v>
      </c>
      <c r="E414" s="433">
        <v>0</v>
      </c>
      <c r="F414" s="433">
        <v>0</v>
      </c>
      <c r="G414" s="433">
        <v>0</v>
      </c>
      <c r="H414" s="433">
        <v>0</v>
      </c>
      <c r="I414" s="433"/>
    </row>
    <row r="415" spans="1:9">
      <c r="A415" s="11"/>
      <c r="B415" s="428" t="s">
        <v>19</v>
      </c>
      <c r="C415" s="417" t="s">
        <v>25</v>
      </c>
      <c r="D415" s="423" t="s">
        <v>26</v>
      </c>
      <c r="E415" s="411">
        <v>0</v>
      </c>
      <c r="F415" s="411">
        <f>F416</f>
        <v>0</v>
      </c>
      <c r="G415" s="411">
        <f>G416</f>
        <v>0</v>
      </c>
      <c r="H415" s="411">
        <f>H416</f>
        <v>0</v>
      </c>
      <c r="I415" s="411">
        <f>I416</f>
        <v>0</v>
      </c>
    </row>
    <row r="416" spans="1:9">
      <c r="A416" s="11"/>
      <c r="B416" s="485"/>
      <c r="C416" s="431"/>
      <c r="D416" s="432" t="s">
        <v>196</v>
      </c>
      <c r="E416" s="433">
        <v>0</v>
      </c>
      <c r="F416" s="433">
        <v>0</v>
      </c>
      <c r="G416" s="433">
        <v>0</v>
      </c>
      <c r="H416" s="433">
        <v>0</v>
      </c>
      <c r="I416" s="433"/>
    </row>
    <row r="417" spans="1:9" ht="25.5">
      <c r="A417" s="11"/>
      <c r="B417" s="409" t="s">
        <v>19</v>
      </c>
      <c r="C417" s="4" t="s">
        <v>650</v>
      </c>
      <c r="D417" s="410" t="s">
        <v>718</v>
      </c>
      <c r="E417" s="411">
        <v>0</v>
      </c>
      <c r="F417" s="490">
        <f>'Wykonanie 8 2025'!H213</f>
        <v>215770</v>
      </c>
      <c r="G417" s="490">
        <f>F417</f>
        <v>215770</v>
      </c>
      <c r="H417" s="490"/>
      <c r="I417" s="411"/>
    </row>
    <row r="418" spans="1:9" ht="25.5">
      <c r="A418" s="11"/>
      <c r="B418" s="409" t="s">
        <v>19</v>
      </c>
      <c r="C418" s="428" t="s">
        <v>118</v>
      </c>
      <c r="D418" s="410" t="s">
        <v>157</v>
      </c>
      <c r="E418" s="411">
        <v>0</v>
      </c>
      <c r="F418" s="490">
        <f>'Wykonanie 8 2025'!H215</f>
        <v>526005</v>
      </c>
      <c r="G418" s="490">
        <f>F418</f>
        <v>526005</v>
      </c>
      <c r="H418" s="490"/>
      <c r="I418" s="411">
        <v>0</v>
      </c>
    </row>
    <row r="419" spans="1:9" ht="38.25">
      <c r="A419" s="11"/>
      <c r="B419" s="4" t="s">
        <v>12</v>
      </c>
      <c r="C419" s="428" t="s">
        <v>13</v>
      </c>
      <c r="D419" s="410" t="s">
        <v>14</v>
      </c>
      <c r="E419" s="411">
        <v>0</v>
      </c>
      <c r="F419" s="490">
        <f>'Wykonanie 8 2025'!H214</f>
        <v>125437</v>
      </c>
      <c r="G419" s="490">
        <f>F419</f>
        <v>125437</v>
      </c>
      <c r="H419" s="490"/>
      <c r="I419" s="411"/>
    </row>
    <row r="420" spans="1:9" ht="38.25">
      <c r="A420" s="11"/>
      <c r="B420" s="4" t="s">
        <v>19</v>
      </c>
      <c r="C420" s="417" t="s">
        <v>148</v>
      </c>
      <c r="D420" s="423" t="s">
        <v>197</v>
      </c>
      <c r="E420" s="411">
        <v>2750000</v>
      </c>
      <c r="F420" s="411">
        <f>F421</f>
        <v>2750000</v>
      </c>
      <c r="G420" s="411">
        <f>G421</f>
        <v>2941000</v>
      </c>
      <c r="H420" s="411">
        <f>H421</f>
        <v>2500000</v>
      </c>
      <c r="I420" s="411">
        <f>I421</f>
        <v>2600000</v>
      </c>
    </row>
    <row r="421" spans="1:9">
      <c r="A421" s="11"/>
      <c r="B421" s="485"/>
      <c r="C421" s="431"/>
      <c r="D421" s="491" t="s">
        <v>195</v>
      </c>
      <c r="E421" s="433">
        <v>2750000</v>
      </c>
      <c r="F421" s="433">
        <f>'Wykonanie 8 2025'!H217</f>
        <v>2750000</v>
      </c>
      <c r="G421" s="433">
        <v>2941000</v>
      </c>
      <c r="H421" s="433">
        <v>2500000</v>
      </c>
      <c r="I421" s="433">
        <v>2600000</v>
      </c>
    </row>
    <row r="422" spans="1:9">
      <c r="A422" s="11"/>
      <c r="B422" s="409">
        <v>85595</v>
      </c>
      <c r="C422" s="414"/>
      <c r="D422" s="492" t="s">
        <v>45</v>
      </c>
      <c r="E422" s="416">
        <f t="shared" ref="E422:E428" si="148">I422</f>
        <v>0</v>
      </c>
      <c r="F422" s="416">
        <f t="shared" ref="F422:I422" si="149">F423+F426</f>
        <v>0</v>
      </c>
      <c r="G422" s="416">
        <f t="shared" si="149"/>
        <v>0</v>
      </c>
      <c r="H422" s="416">
        <f t="shared" si="149"/>
        <v>0</v>
      </c>
      <c r="I422" s="416">
        <f t="shared" si="149"/>
        <v>0</v>
      </c>
    </row>
    <row r="423" spans="1:9" ht="51">
      <c r="A423" s="11"/>
      <c r="B423" s="4" t="s">
        <v>19</v>
      </c>
      <c r="C423" s="4" t="s">
        <v>140</v>
      </c>
      <c r="D423" s="410" t="s">
        <v>139</v>
      </c>
      <c r="E423" s="411">
        <f t="shared" si="148"/>
        <v>0</v>
      </c>
      <c r="F423" s="411">
        <f t="shared" ref="F423:I423" si="150">SUM(F424:F425)</f>
        <v>0</v>
      </c>
      <c r="G423" s="411">
        <f t="shared" si="150"/>
        <v>0</v>
      </c>
      <c r="H423" s="411">
        <f t="shared" si="150"/>
        <v>0</v>
      </c>
      <c r="I423" s="411">
        <f t="shared" si="150"/>
        <v>0</v>
      </c>
    </row>
    <row r="424" spans="1:9">
      <c r="A424" s="11"/>
      <c r="B424" s="409"/>
      <c r="C424" s="4"/>
      <c r="D424" s="473" t="s">
        <v>672</v>
      </c>
      <c r="E424" s="474">
        <f t="shared" si="148"/>
        <v>0</v>
      </c>
      <c r="F424" s="474">
        <v>0</v>
      </c>
      <c r="G424" s="474">
        <v>0</v>
      </c>
      <c r="H424" s="474">
        <v>0</v>
      </c>
      <c r="I424" s="474">
        <v>0</v>
      </c>
    </row>
    <row r="425" spans="1:9">
      <c r="A425" s="11"/>
      <c r="B425" s="409"/>
      <c r="C425" s="4"/>
      <c r="D425" s="473" t="s">
        <v>668</v>
      </c>
      <c r="E425" s="474">
        <f t="shared" si="148"/>
        <v>0</v>
      </c>
      <c r="F425" s="474">
        <v>0</v>
      </c>
      <c r="G425" s="474">
        <v>0</v>
      </c>
      <c r="H425" s="474">
        <v>0</v>
      </c>
      <c r="I425" s="474">
        <v>0</v>
      </c>
    </row>
    <row r="426" spans="1:9" ht="51">
      <c r="A426" s="11"/>
      <c r="B426" s="4" t="s">
        <v>19</v>
      </c>
      <c r="C426" s="4" t="s">
        <v>141</v>
      </c>
      <c r="D426" s="410" t="s">
        <v>139</v>
      </c>
      <c r="E426" s="411">
        <f t="shared" si="148"/>
        <v>0</v>
      </c>
      <c r="F426" s="411">
        <f t="shared" ref="F426:I426" si="151">SUM(F427:F428)</f>
        <v>0</v>
      </c>
      <c r="G426" s="411">
        <f t="shared" si="151"/>
        <v>0</v>
      </c>
      <c r="H426" s="411">
        <f t="shared" si="151"/>
        <v>0</v>
      </c>
      <c r="I426" s="411">
        <f t="shared" si="151"/>
        <v>0</v>
      </c>
    </row>
    <row r="427" spans="1:9">
      <c r="A427" s="11"/>
      <c r="B427" s="409"/>
      <c r="C427" s="4"/>
      <c r="D427" s="473" t="s">
        <v>672</v>
      </c>
      <c r="E427" s="474">
        <f t="shared" si="148"/>
        <v>0</v>
      </c>
      <c r="F427" s="474">
        <v>0</v>
      </c>
      <c r="G427" s="474">
        <v>0</v>
      </c>
      <c r="H427" s="474">
        <v>0</v>
      </c>
      <c r="I427" s="474">
        <v>0</v>
      </c>
    </row>
    <row r="428" spans="1:9">
      <c r="A428" s="11"/>
      <c r="B428" s="409"/>
      <c r="C428" s="4"/>
      <c r="D428" s="473" t="s">
        <v>668</v>
      </c>
      <c r="E428" s="474">
        <f t="shared" si="148"/>
        <v>0</v>
      </c>
      <c r="F428" s="474">
        <v>0</v>
      </c>
      <c r="G428" s="474">
        <v>0</v>
      </c>
      <c r="H428" s="474">
        <v>0</v>
      </c>
      <c r="I428" s="474">
        <v>0</v>
      </c>
    </row>
    <row r="429" spans="1:9">
      <c r="A429" s="371">
        <v>900</v>
      </c>
      <c r="B429" s="454"/>
      <c r="C429" s="406"/>
      <c r="D429" s="493" t="s">
        <v>198</v>
      </c>
      <c r="E429" s="408">
        <v>550000</v>
      </c>
      <c r="F429" s="408">
        <f t="shared" ref="F429:I429" si="152">F430</f>
        <v>620000</v>
      </c>
      <c r="G429" s="408">
        <f t="shared" si="152"/>
        <v>658782.04</v>
      </c>
      <c r="H429" s="408">
        <f t="shared" si="152"/>
        <v>600000</v>
      </c>
      <c r="I429" s="408">
        <f t="shared" si="152"/>
        <v>600000</v>
      </c>
    </row>
    <row r="430" spans="1:9" ht="26.25">
      <c r="A430" s="4"/>
      <c r="B430" s="4" t="s">
        <v>199</v>
      </c>
      <c r="C430" s="414"/>
      <c r="D430" s="494" t="s">
        <v>200</v>
      </c>
      <c r="E430" s="416">
        <v>550000</v>
      </c>
      <c r="F430" s="416">
        <f t="shared" ref="F430:I430" si="153">SUM(F431:F434)</f>
        <v>620000</v>
      </c>
      <c r="G430" s="416">
        <f t="shared" si="153"/>
        <v>658782.04</v>
      </c>
      <c r="H430" s="416">
        <f t="shared" si="153"/>
        <v>600000</v>
      </c>
      <c r="I430" s="416">
        <f t="shared" si="153"/>
        <v>600000</v>
      </c>
    </row>
    <row r="431" spans="1:9">
      <c r="A431" s="5"/>
      <c r="B431" s="4" t="s">
        <v>19</v>
      </c>
      <c r="C431" s="417" t="s">
        <v>46</v>
      </c>
      <c r="D431" s="423" t="s">
        <v>198</v>
      </c>
      <c r="E431" s="411">
        <v>0</v>
      </c>
      <c r="F431" s="411">
        <v>0</v>
      </c>
      <c r="G431" s="411">
        <v>0</v>
      </c>
      <c r="H431" s="411">
        <v>0</v>
      </c>
      <c r="I431" s="411"/>
    </row>
    <row r="432" spans="1:9">
      <c r="A432" s="5"/>
      <c r="B432" s="4" t="s">
        <v>19</v>
      </c>
      <c r="C432" s="417" t="s">
        <v>47</v>
      </c>
      <c r="D432" s="423" t="s">
        <v>48</v>
      </c>
      <c r="E432" s="411">
        <v>550000</v>
      </c>
      <c r="F432" s="411">
        <f>'Wykonanie 8 2025'!H221</f>
        <v>620000</v>
      </c>
      <c r="G432" s="411">
        <f>'Wykonanie 8 2025'!J221+'Wykonanie 8 2025'!J223</f>
        <v>658185.04</v>
      </c>
      <c r="H432" s="411">
        <v>600000</v>
      </c>
      <c r="I432" s="411">
        <v>600000</v>
      </c>
    </row>
    <row r="433" spans="1:10">
      <c r="A433" s="5"/>
      <c r="B433" s="4" t="s">
        <v>19</v>
      </c>
      <c r="C433" s="441" t="s">
        <v>40</v>
      </c>
      <c r="D433" s="419" t="s">
        <v>41</v>
      </c>
      <c r="E433" s="411">
        <v>0</v>
      </c>
      <c r="F433" s="411">
        <v>0</v>
      </c>
      <c r="G433" s="411">
        <f>'Wykonanie 8 2025'!J224</f>
        <v>569</v>
      </c>
      <c r="H433" s="411">
        <v>0</v>
      </c>
      <c r="I433" s="411"/>
    </row>
    <row r="434" spans="1:10">
      <c r="A434" s="5"/>
      <c r="B434" s="4" t="s">
        <v>19</v>
      </c>
      <c r="C434" s="441" t="s">
        <v>25</v>
      </c>
      <c r="D434" s="419" t="s">
        <v>26</v>
      </c>
      <c r="E434" s="411">
        <v>0</v>
      </c>
      <c r="F434" s="411">
        <v>0</v>
      </c>
      <c r="G434" s="411">
        <f>'Wykonanie 8 2025'!J226</f>
        <v>28</v>
      </c>
      <c r="H434" s="411">
        <v>0</v>
      </c>
      <c r="I434" s="411"/>
    </row>
    <row r="435" spans="1:10">
      <c r="A435" s="368">
        <v>926</v>
      </c>
      <c r="B435" s="405"/>
      <c r="C435" s="406"/>
      <c r="D435" s="484" t="s">
        <v>201</v>
      </c>
      <c r="E435" s="408">
        <f>E436</f>
        <v>2200000</v>
      </c>
      <c r="F435" s="408">
        <f t="shared" ref="F435:I435" si="154">F436</f>
        <v>2240000</v>
      </c>
      <c r="G435" s="408">
        <f t="shared" si="154"/>
        <v>2001775.36</v>
      </c>
      <c r="H435" s="408">
        <f t="shared" si="154"/>
        <v>4317600</v>
      </c>
      <c r="I435" s="408">
        <f t="shared" si="154"/>
        <v>4874938.4000000004</v>
      </c>
      <c r="J435" s="418"/>
    </row>
    <row r="436" spans="1:10">
      <c r="A436" s="3"/>
      <c r="B436" s="409">
        <v>92601</v>
      </c>
      <c r="C436" s="414"/>
      <c r="D436" s="415" t="s">
        <v>202</v>
      </c>
      <c r="E436" s="416">
        <f>E437+E439+E441+E443+E447+E449+E451+E453+E454</f>
        <v>2200000</v>
      </c>
      <c r="F436" s="416">
        <f t="shared" ref="F436:I436" si="155">F437+F439+F441+F443+F447+F449+F451+F453+F454</f>
        <v>2240000</v>
      </c>
      <c r="G436" s="416">
        <f t="shared" si="155"/>
        <v>2001775.36</v>
      </c>
      <c r="H436" s="416">
        <f t="shared" si="155"/>
        <v>4317600</v>
      </c>
      <c r="I436" s="416">
        <f t="shared" si="155"/>
        <v>4874938.4000000004</v>
      </c>
    </row>
    <row r="437" spans="1:10">
      <c r="A437" s="3"/>
      <c r="B437" s="4" t="s">
        <v>19</v>
      </c>
      <c r="C437" s="482" t="s">
        <v>33</v>
      </c>
      <c r="D437" s="483" t="s">
        <v>48</v>
      </c>
      <c r="E437" s="411">
        <v>0</v>
      </c>
      <c r="F437" s="411">
        <f>F438</f>
        <v>0</v>
      </c>
      <c r="G437" s="411">
        <f>G438</f>
        <v>66</v>
      </c>
      <c r="H437" s="411">
        <f>H438</f>
        <v>0</v>
      </c>
      <c r="I437" s="411">
        <f>I438</f>
        <v>0</v>
      </c>
    </row>
    <row r="438" spans="1:10">
      <c r="A438" s="3"/>
      <c r="B438" s="4"/>
      <c r="C438" s="431"/>
      <c r="D438" s="432" t="s">
        <v>123</v>
      </c>
      <c r="E438" s="433">
        <v>0</v>
      </c>
      <c r="F438" s="433">
        <v>0</v>
      </c>
      <c r="G438" s="433">
        <v>66</v>
      </c>
      <c r="H438" s="433">
        <v>0</v>
      </c>
      <c r="I438" s="433">
        <f>H438</f>
        <v>0</v>
      </c>
    </row>
    <row r="439" spans="1:10">
      <c r="A439" s="3"/>
      <c r="B439" s="4" t="s">
        <v>19</v>
      </c>
      <c r="C439" s="482" t="s">
        <v>47</v>
      </c>
      <c r="D439" s="483" t="s">
        <v>48</v>
      </c>
      <c r="E439" s="411">
        <v>0</v>
      </c>
      <c r="F439" s="411">
        <f>F440</f>
        <v>0</v>
      </c>
      <c r="G439" s="411">
        <f>G440</f>
        <v>0</v>
      </c>
      <c r="H439" s="411">
        <f>H440</f>
        <v>0</v>
      </c>
      <c r="I439" s="411">
        <f>I440</f>
        <v>0</v>
      </c>
    </row>
    <row r="440" spans="1:10">
      <c r="A440" s="3"/>
      <c r="B440" s="4"/>
      <c r="C440" s="431"/>
      <c r="D440" s="432" t="s">
        <v>123</v>
      </c>
      <c r="E440" s="433">
        <v>0</v>
      </c>
      <c r="F440" s="433">
        <v>0</v>
      </c>
      <c r="G440" s="433">
        <v>0</v>
      </c>
      <c r="H440" s="433">
        <v>0</v>
      </c>
      <c r="I440" s="433">
        <f>H440</f>
        <v>0</v>
      </c>
    </row>
    <row r="441" spans="1:10" ht="38.25">
      <c r="A441" s="3"/>
      <c r="B441" s="4" t="s">
        <v>19</v>
      </c>
      <c r="C441" s="4" t="s">
        <v>36</v>
      </c>
      <c r="D441" s="410" t="s">
        <v>37</v>
      </c>
      <c r="E441" s="411">
        <v>700000</v>
      </c>
      <c r="F441" s="411">
        <f t="shared" ref="F441:I441" si="156">F442</f>
        <v>700000</v>
      </c>
      <c r="G441" s="411">
        <f t="shared" si="156"/>
        <v>600000</v>
      </c>
      <c r="H441" s="411">
        <f t="shared" si="156"/>
        <v>600000</v>
      </c>
      <c r="I441" s="411">
        <f t="shared" si="156"/>
        <v>700000</v>
      </c>
    </row>
    <row r="442" spans="1:10">
      <c r="A442" s="3"/>
      <c r="B442" s="4"/>
      <c r="C442" s="431"/>
      <c r="D442" s="432" t="s">
        <v>123</v>
      </c>
      <c r="E442" s="433">
        <v>700000</v>
      </c>
      <c r="F442" s="433">
        <f>'Wykonanie 8 2025'!H229</f>
        <v>700000</v>
      </c>
      <c r="G442" s="433">
        <v>600000</v>
      </c>
      <c r="H442" s="433">
        <v>600000</v>
      </c>
      <c r="I442" s="433">
        <v>700000</v>
      </c>
    </row>
    <row r="443" spans="1:10">
      <c r="A443" s="3"/>
      <c r="B443" s="4" t="s">
        <v>19</v>
      </c>
      <c r="C443" s="4" t="s">
        <v>124</v>
      </c>
      <c r="D443" s="410" t="s">
        <v>125</v>
      </c>
      <c r="E443" s="411">
        <v>1500000</v>
      </c>
      <c r="F443" s="411">
        <f t="shared" ref="F443:I443" si="157">F444</f>
        <v>1500000</v>
      </c>
      <c r="G443" s="411">
        <f t="shared" si="157"/>
        <v>1400000</v>
      </c>
      <c r="H443" s="411">
        <f t="shared" si="157"/>
        <v>1400000</v>
      </c>
      <c r="I443" s="411">
        <f t="shared" si="157"/>
        <v>1500000</v>
      </c>
    </row>
    <row r="444" spans="1:10">
      <c r="A444" s="10"/>
      <c r="B444" s="428"/>
      <c r="C444" s="488"/>
      <c r="D444" s="495" t="s">
        <v>123</v>
      </c>
      <c r="E444" s="433">
        <v>1500000</v>
      </c>
      <c r="F444" s="489">
        <f>'Wykonanie 8 2025'!H230</f>
        <v>1500000</v>
      </c>
      <c r="G444" s="489">
        <v>1400000</v>
      </c>
      <c r="H444" s="489">
        <v>1400000</v>
      </c>
      <c r="I444" s="433">
        <v>1500000</v>
      </c>
    </row>
    <row r="445" spans="1:10">
      <c r="A445" s="3"/>
      <c r="B445" s="13" t="s">
        <v>19</v>
      </c>
      <c r="C445" s="13" t="s">
        <v>22</v>
      </c>
      <c r="D445" s="421" t="s">
        <v>156</v>
      </c>
      <c r="E445" s="422">
        <v>0</v>
      </c>
      <c r="F445" s="422">
        <f t="shared" ref="F445:I445" si="158">F446</f>
        <v>0</v>
      </c>
      <c r="G445" s="422">
        <f t="shared" si="158"/>
        <v>0</v>
      </c>
      <c r="H445" s="422">
        <f t="shared" si="158"/>
        <v>0</v>
      </c>
      <c r="I445" s="422">
        <f t="shared" si="158"/>
        <v>0</v>
      </c>
    </row>
    <row r="446" spans="1:10">
      <c r="A446" s="3"/>
      <c r="B446" s="4"/>
      <c r="C446" s="488"/>
      <c r="D446" s="495" t="s">
        <v>123</v>
      </c>
      <c r="E446" s="433">
        <v>0</v>
      </c>
      <c r="F446" s="489">
        <v>0</v>
      </c>
      <c r="G446" s="489">
        <v>0</v>
      </c>
      <c r="H446" s="489">
        <v>0</v>
      </c>
      <c r="I446" s="433">
        <f>H446</f>
        <v>0</v>
      </c>
    </row>
    <row r="447" spans="1:10">
      <c r="A447" s="3"/>
      <c r="B447" s="4" t="s">
        <v>19</v>
      </c>
      <c r="C447" s="441" t="s">
        <v>40</v>
      </c>
      <c r="D447" s="419" t="s">
        <v>41</v>
      </c>
      <c r="E447" s="411">
        <v>0</v>
      </c>
      <c r="F447" s="411">
        <f t="shared" ref="F447:I447" si="159">F448</f>
        <v>0</v>
      </c>
      <c r="G447" s="411">
        <f t="shared" si="159"/>
        <v>358.25</v>
      </c>
      <c r="H447" s="411">
        <f t="shared" si="159"/>
        <v>0</v>
      </c>
      <c r="I447" s="411">
        <f t="shared" si="159"/>
        <v>0</v>
      </c>
    </row>
    <row r="448" spans="1:10">
      <c r="A448" s="3"/>
      <c r="B448" s="4"/>
      <c r="C448" s="488"/>
      <c r="D448" s="495" t="s">
        <v>123</v>
      </c>
      <c r="E448" s="433">
        <v>0</v>
      </c>
      <c r="F448" s="489">
        <f>'[1]budżet 31.08.2022'!H221</f>
        <v>0</v>
      </c>
      <c r="G448" s="489">
        <f>'Wykonanie 8 2025'!J232+'Wykonanie 8 2025'!J233</f>
        <v>358.25</v>
      </c>
      <c r="H448" s="489">
        <v>0</v>
      </c>
      <c r="I448" s="433">
        <f>H448</f>
        <v>0</v>
      </c>
    </row>
    <row r="449" spans="1:12" ht="18" customHeight="1">
      <c r="A449" s="3"/>
      <c r="B449" s="4" t="s">
        <v>19</v>
      </c>
      <c r="C449" s="441" t="s">
        <v>23</v>
      </c>
      <c r="D449" s="419" t="s">
        <v>24</v>
      </c>
      <c r="E449" s="411">
        <v>0</v>
      </c>
      <c r="F449" s="411">
        <f t="shared" ref="F449:I449" si="160">F450</f>
        <v>0</v>
      </c>
      <c r="G449" s="411">
        <f t="shared" si="160"/>
        <v>412.05</v>
      </c>
      <c r="H449" s="411">
        <f t="shared" si="160"/>
        <v>0</v>
      </c>
      <c r="I449" s="411">
        <f t="shared" si="160"/>
        <v>0</v>
      </c>
    </row>
    <row r="450" spans="1:12">
      <c r="A450" s="3"/>
      <c r="B450" s="4"/>
      <c r="C450" s="431"/>
      <c r="D450" s="495" t="s">
        <v>123</v>
      </c>
      <c r="E450" s="433">
        <v>0</v>
      </c>
      <c r="F450" s="433">
        <f>'[1]budżet 31.08.2022'!H222</f>
        <v>0</v>
      </c>
      <c r="G450" s="433">
        <f>'Wykonanie 8 2025'!J234</f>
        <v>412.05</v>
      </c>
      <c r="H450" s="433">
        <v>0</v>
      </c>
      <c r="I450" s="433">
        <f>H450</f>
        <v>0</v>
      </c>
    </row>
    <row r="451" spans="1:12">
      <c r="A451" s="3"/>
      <c r="B451" s="4" t="s">
        <v>19</v>
      </c>
      <c r="C451" s="441" t="s">
        <v>25</v>
      </c>
      <c r="D451" s="419" t="s">
        <v>26</v>
      </c>
      <c r="E451" s="411">
        <v>0</v>
      </c>
      <c r="F451" s="411">
        <f t="shared" ref="F451:I451" si="161">F452</f>
        <v>0</v>
      </c>
      <c r="G451" s="411">
        <f t="shared" si="161"/>
        <v>939.06</v>
      </c>
      <c r="H451" s="411">
        <f t="shared" si="161"/>
        <v>0</v>
      </c>
      <c r="I451" s="411">
        <f t="shared" si="161"/>
        <v>0</v>
      </c>
    </row>
    <row r="452" spans="1:12">
      <c r="A452" s="3"/>
      <c r="B452" s="4"/>
      <c r="C452" s="488"/>
      <c r="D452" s="495" t="s">
        <v>123</v>
      </c>
      <c r="E452" s="433">
        <v>0</v>
      </c>
      <c r="F452" s="489">
        <v>0</v>
      </c>
      <c r="G452" s="489">
        <f>'Wykonanie 8 2025'!J236</f>
        <v>939.06</v>
      </c>
      <c r="H452" s="489">
        <v>0</v>
      </c>
      <c r="I452" s="433">
        <f>H452</f>
        <v>0</v>
      </c>
    </row>
    <row r="453" spans="1:12" ht="38.25">
      <c r="A453" s="3"/>
      <c r="B453" s="550" t="s">
        <v>19</v>
      </c>
      <c r="C453" s="551" t="s">
        <v>133</v>
      </c>
      <c r="D453" s="552" t="s">
        <v>134</v>
      </c>
      <c r="E453" s="553">
        <v>0</v>
      </c>
      <c r="F453" s="554">
        <f>'Wykonanie 8 2025'!H237</f>
        <v>40000</v>
      </c>
      <c r="G453" s="554">
        <v>0</v>
      </c>
      <c r="H453" s="554">
        <v>0</v>
      </c>
      <c r="I453" s="553">
        <v>178669.2</v>
      </c>
      <c r="J453" s="496"/>
    </row>
    <row r="454" spans="1:12" ht="51">
      <c r="A454" s="3"/>
      <c r="B454" s="550"/>
      <c r="C454" s="551" t="s">
        <v>60</v>
      </c>
      <c r="D454" s="564" t="s">
        <v>172</v>
      </c>
      <c r="E454" s="553">
        <v>0</v>
      </c>
      <c r="F454" s="554">
        <v>0</v>
      </c>
      <c r="G454" s="554">
        <v>0</v>
      </c>
      <c r="H454" s="554">
        <v>2317600</v>
      </c>
      <c r="I454" s="553">
        <v>2496269.2000000002</v>
      </c>
      <c r="J454" s="496"/>
    </row>
    <row r="455" spans="1:12">
      <c r="A455" s="372"/>
      <c r="B455" s="4"/>
      <c r="C455" s="414"/>
      <c r="D455" s="415" t="s">
        <v>203</v>
      </c>
      <c r="E455" s="497">
        <f>E14+E26+E33+E45+E57+E63+E70+E73+E112+E129+E250+E262+E306+E344+E387+E429+E435</f>
        <v>170624850</v>
      </c>
      <c r="F455" s="497">
        <f>F435+F429+F387+F344+F306+F262+F250+F129+F112+F73+F70+F63+F57+F45+F33+F26+F14</f>
        <v>185860187.84000003</v>
      </c>
      <c r="G455" s="497">
        <f>G435+G429+G387+G344+G306+G262+G250+G129+G112+G73+G70+G63+G57+G45+G33+G26+G14</f>
        <v>164057877.83000001</v>
      </c>
      <c r="H455" s="497">
        <f>H435+H429+H387+H344+H306+H262+H250+H129+H112+H73+H70+H63+H57+H45+H33+H26+H14</f>
        <v>181689523.92000002</v>
      </c>
      <c r="I455" s="497">
        <f>I435+I429+I387+I344+I306+I262+I250+I129+I112+I73+I70+I63+I57+I45+I33+I26+I14</f>
        <v>185322954.31999999</v>
      </c>
      <c r="J455" s="418"/>
    </row>
    <row r="456" spans="1:12" s="559" customFormat="1">
      <c r="A456" s="557"/>
      <c r="B456" s="551"/>
      <c r="C456" s="551"/>
      <c r="D456" s="552"/>
      <c r="E456" s="555"/>
      <c r="F456" s="516"/>
      <c r="G456" s="516"/>
      <c r="H456" s="516"/>
      <c r="I456" s="516"/>
      <c r="J456" s="558"/>
    </row>
    <row r="457" spans="1:12">
      <c r="A457" s="585" t="s">
        <v>204</v>
      </c>
      <c r="B457" s="405" t="s">
        <v>12</v>
      </c>
      <c r="C457" s="498"/>
      <c r="D457" s="499" t="s">
        <v>727</v>
      </c>
      <c r="E457" s="500">
        <f>E31+E35+E37+E39+E40+E47+E59+E62++E66+E72+E234+E261+E287+E296+E314+E343+E401+E419</f>
        <v>12488822</v>
      </c>
      <c r="F457" s="500">
        <f>F31+F35+F37+F39+F40+F47+F59+F62++F66+F72+F234+F261+F287+F296+F314+F343+F401+F419</f>
        <v>13469912.07</v>
      </c>
      <c r="G457" s="500">
        <f>G31+G35+G37+G39+G40+G47+G59+G62++G66+G72+G234+G261+G287+G296+G314+G343+G401+G419</f>
        <v>1143934.07</v>
      </c>
      <c r="H457" s="500">
        <f>H31+H35+H37+H39+H40+H47+H59+H62++H66+H72+H234+H261+H287+H296+H314+H343+H401+H419</f>
        <v>12639723</v>
      </c>
      <c r="I457" s="500">
        <f>I31+I35+I37+I39+I40+I47+I59+I62++I66+I72+I234+I261+I287+I296+I314+I343+I401+I419</f>
        <v>12639723</v>
      </c>
      <c r="L457" s="496"/>
    </row>
    <row r="458" spans="1:12">
      <c r="A458" s="586"/>
      <c r="B458" s="405"/>
      <c r="C458" s="498"/>
      <c r="D458" s="499" t="s">
        <v>728</v>
      </c>
      <c r="E458" s="413">
        <f>E31+E35+E37+E39+E47+E59+E62+E66+E72+E234+E261+E287+E296+E314+E343+E401+E419</f>
        <v>12488822</v>
      </c>
      <c r="F458" s="413">
        <f>F31+F35+F37+F39+F47+F59+F62+F66+F72+F234+F261+F287+F296+F314+F343+F401+F419</f>
        <v>13469912.07</v>
      </c>
      <c r="G458" s="413">
        <f>G31+G35+G37+G39+G47+G59+G62+G66+G72+G234+G261+G287+G296+G314+G343+G401+G419</f>
        <v>1143934.07</v>
      </c>
      <c r="H458" s="413">
        <f>H31+H35+H37+H39+H47+H59+H62+H66+H72+H234+H261+H287+H296+H314+H343+H401+H419</f>
        <v>12589723</v>
      </c>
      <c r="I458" s="413">
        <f>I31+I35+I37+I39+I47+I59+I62+I66+I72+I234+I261+I287+I296+I314+I343+I401+I419</f>
        <v>12589723</v>
      </c>
      <c r="L458" s="496"/>
    </row>
    <row r="459" spans="1:12">
      <c r="A459" s="586"/>
      <c r="B459" s="405"/>
      <c r="C459" s="498"/>
      <c r="D459" s="499" t="s">
        <v>729</v>
      </c>
      <c r="E459" s="556">
        <f>E40</f>
        <v>0</v>
      </c>
      <c r="F459" s="556">
        <f>F40</f>
        <v>0</v>
      </c>
      <c r="G459" s="556">
        <f>G40</f>
        <v>0</v>
      </c>
      <c r="H459" s="556">
        <f>H40</f>
        <v>50000</v>
      </c>
      <c r="I459" s="556">
        <f>I40</f>
        <v>50000</v>
      </c>
    </row>
    <row r="460" spans="1:12" ht="26.25">
      <c r="A460" s="586"/>
      <c r="B460" s="405" t="s">
        <v>61</v>
      </c>
      <c r="C460" s="498"/>
      <c r="D460" s="500" t="s">
        <v>205</v>
      </c>
      <c r="E460" s="500">
        <f t="shared" ref="E460" si="162">I460</f>
        <v>342760</v>
      </c>
      <c r="F460" s="500">
        <f>F60+F249</f>
        <v>342760</v>
      </c>
      <c r="G460" s="500">
        <f>G60+G249</f>
        <v>342760</v>
      </c>
      <c r="H460" s="500">
        <f>H60+H249</f>
        <v>342760</v>
      </c>
      <c r="I460" s="500">
        <f>I60+I249</f>
        <v>342760</v>
      </c>
      <c r="J460" s="496"/>
      <c r="L460" s="496"/>
    </row>
    <row r="461" spans="1:12" ht="26.25">
      <c r="A461" s="586"/>
      <c r="B461" s="405" t="s">
        <v>167</v>
      </c>
      <c r="C461" s="498"/>
      <c r="D461" s="500" t="s">
        <v>206</v>
      </c>
      <c r="E461" s="500">
        <f>E308</f>
        <v>3744</v>
      </c>
      <c r="F461" s="500">
        <f>F308</f>
        <v>3911</v>
      </c>
      <c r="G461" s="500">
        <f>G308</f>
        <v>3911</v>
      </c>
      <c r="H461" s="500">
        <f>H308</f>
        <v>7822</v>
      </c>
      <c r="I461" s="500">
        <f>H461</f>
        <v>7822</v>
      </c>
      <c r="L461" s="496"/>
    </row>
    <row r="462" spans="1:12">
      <c r="A462" s="586"/>
      <c r="B462" s="405" t="s">
        <v>19</v>
      </c>
      <c r="C462" s="498"/>
      <c r="D462" s="501" t="s">
        <v>207</v>
      </c>
      <c r="E462" s="408">
        <v>157006405</v>
      </c>
      <c r="F462" s="408">
        <f>SUM(F463:F464)</f>
        <v>172043604.77000004</v>
      </c>
      <c r="G462" s="408">
        <f t="shared" ref="G462:H462" si="163">SUM(G463:G464)</f>
        <v>162567272.76000002</v>
      </c>
      <c r="H462" s="408">
        <f t="shared" si="163"/>
        <v>168699218.92000002</v>
      </c>
      <c r="I462" s="408">
        <f>SUM(I463:I464)</f>
        <v>172332649.31999999</v>
      </c>
      <c r="J462" s="418"/>
    </row>
    <row r="463" spans="1:12">
      <c r="A463" s="586"/>
      <c r="B463" s="405" t="s">
        <v>19</v>
      </c>
      <c r="C463" s="498"/>
      <c r="D463" s="503" t="s">
        <v>208</v>
      </c>
      <c r="E463" s="504">
        <v>149016391.96000001</v>
      </c>
      <c r="F463" s="504">
        <f t="shared" ref="F463:H463" si="164">F455-F457-F460-F461-F464</f>
        <v>156830421.54000005</v>
      </c>
      <c r="G463" s="504">
        <f t="shared" si="164"/>
        <v>153361020.61000001</v>
      </c>
      <c r="H463" s="504">
        <f t="shared" si="164"/>
        <v>162609108.89000002</v>
      </c>
      <c r="I463" s="504">
        <f>I455-I457-I460-I461-I464</f>
        <v>166062789.88999999</v>
      </c>
    </row>
    <row r="464" spans="1:12">
      <c r="A464" s="587"/>
      <c r="B464" s="405" t="s">
        <v>19</v>
      </c>
      <c r="C464" s="498"/>
      <c r="D464" s="503" t="s">
        <v>209</v>
      </c>
      <c r="E464" s="504">
        <v>7990013.04</v>
      </c>
      <c r="F464" s="504">
        <f>F454+F453+F445+F380+F311+F304+F302+F284+F283+F254+F245+F242+F241+F221+F157+F124+F53+F52+F44+F43+F30+F23+F21+F18</f>
        <v>15213183.23</v>
      </c>
      <c r="G464" s="504">
        <f t="shared" ref="G464:I464" si="165">G454+G453+G445+G380+G311+G304+G302+G284+G283+G254+G245+G242+G241+G221+G157+G124+G53+G52+G44+G43+G30+G23+G21+G18</f>
        <v>9206252.1500000004</v>
      </c>
      <c r="H464" s="504">
        <f t="shared" si="165"/>
        <v>6090110.0300000003</v>
      </c>
      <c r="I464" s="504">
        <f t="shared" si="165"/>
        <v>6269859.4300000006</v>
      </c>
      <c r="J464" s="496"/>
      <c r="K464" s="418"/>
    </row>
    <row r="465" spans="1:12">
      <c r="A465" s="588" t="s">
        <v>210</v>
      </c>
      <c r="B465" s="589"/>
      <c r="C465" s="589"/>
      <c r="D465" s="590"/>
      <c r="E465" s="505">
        <f>E457+E460+E461+E462</f>
        <v>169841731</v>
      </c>
      <c r="F465" s="505">
        <f>F457+F460+F461+F462</f>
        <v>185860187.84000003</v>
      </c>
      <c r="G465" s="505">
        <f t="shared" ref="G465:H465" si="166">G457+G460+G461+G462</f>
        <v>164057877.83000001</v>
      </c>
      <c r="H465" s="505">
        <f t="shared" si="166"/>
        <v>181689523.92000002</v>
      </c>
      <c r="I465" s="505">
        <f>I457+I460+I461+I462</f>
        <v>185322954.31999999</v>
      </c>
      <c r="L465" s="496"/>
    </row>
    <row r="466" spans="1:12">
      <c r="A466" s="585" t="s">
        <v>211</v>
      </c>
      <c r="B466" s="591"/>
      <c r="C466" s="594"/>
      <c r="D466" s="506" t="s">
        <v>801</v>
      </c>
      <c r="E466" s="507"/>
      <c r="F466" s="507"/>
      <c r="G466" s="507"/>
      <c r="H466" s="507">
        <f>H458+H460+H461+H463</f>
        <v>175549413.89000002</v>
      </c>
      <c r="I466" s="507"/>
      <c r="J466" s="418"/>
      <c r="K466" s="496"/>
      <c r="L466" s="496"/>
    </row>
    <row r="467" spans="1:12">
      <c r="A467" s="586"/>
      <c r="B467" s="592"/>
      <c r="C467" s="595"/>
      <c r="D467" s="508" t="s">
        <v>800</v>
      </c>
      <c r="E467" s="509">
        <v>0</v>
      </c>
      <c r="F467" s="510">
        <v>0</v>
      </c>
      <c r="G467" s="510">
        <v>0</v>
      </c>
      <c r="H467" s="510">
        <v>0</v>
      </c>
      <c r="I467" s="510">
        <v>0</v>
      </c>
      <c r="J467" s="418"/>
      <c r="K467" s="496"/>
      <c r="L467" s="496"/>
    </row>
    <row r="468" spans="1:12">
      <c r="A468" s="586"/>
      <c r="B468" s="592"/>
      <c r="C468" s="595"/>
      <c r="D468" s="508" t="s">
        <v>212</v>
      </c>
      <c r="E468" s="509">
        <v>2000000</v>
      </c>
      <c r="F468" s="510">
        <v>2000000</v>
      </c>
      <c r="G468" s="510">
        <v>2000000</v>
      </c>
      <c r="H468" s="510">
        <v>2500000</v>
      </c>
      <c r="I468" s="510">
        <v>2500000</v>
      </c>
      <c r="K468" s="496"/>
      <c r="L468" s="496"/>
    </row>
    <row r="469" spans="1:12">
      <c r="A469" s="586"/>
      <c r="B469" s="592"/>
      <c r="C469" s="595"/>
      <c r="D469" s="506"/>
      <c r="E469" s="507"/>
      <c r="F469" s="507"/>
      <c r="G469" s="507"/>
      <c r="H469" s="507"/>
      <c r="I469" s="507"/>
      <c r="J469" s="418"/>
    </row>
    <row r="470" spans="1:12">
      <c r="A470" s="586"/>
      <c r="B470" s="592"/>
      <c r="C470" s="595"/>
      <c r="D470" s="501" t="s">
        <v>213</v>
      </c>
      <c r="E470" s="502">
        <f>'wydatki własne'!F669</f>
        <v>149707259.59</v>
      </c>
      <c r="F470" s="502">
        <f>'wydatki własne'!G669</f>
        <v>1647201.54</v>
      </c>
      <c r="G470" s="502">
        <f>'wydatki własne'!H669</f>
        <v>71261</v>
      </c>
      <c r="H470" s="502">
        <f>'wydatki własne'!I669</f>
        <v>171837466.16</v>
      </c>
      <c r="I470" s="502">
        <f>'wydatki własne'!J669</f>
        <v>164543973.41</v>
      </c>
    </row>
    <row r="471" spans="1:12">
      <c r="A471" s="586"/>
      <c r="B471" s="592"/>
      <c r="C471" s="595"/>
      <c r="D471" s="506" t="s">
        <v>214</v>
      </c>
      <c r="E471" s="507">
        <f t="shared" ref="E471:H471" si="167">E470+E468</f>
        <v>151707259.59</v>
      </c>
      <c r="F471" s="507">
        <f t="shared" si="167"/>
        <v>3647201.54</v>
      </c>
      <c r="G471" s="507">
        <f t="shared" si="167"/>
        <v>2071261</v>
      </c>
      <c r="H471" s="507">
        <f t="shared" si="167"/>
        <v>174337466.16</v>
      </c>
      <c r="I471" s="507">
        <f>I470+I468</f>
        <v>167043973.41</v>
      </c>
      <c r="J471" s="496"/>
      <c r="K471" s="496"/>
    </row>
    <row r="472" spans="1:12">
      <c r="A472" s="586"/>
      <c r="B472" s="592"/>
      <c r="C472" s="595"/>
      <c r="D472" s="511" t="s">
        <v>730</v>
      </c>
      <c r="E472" s="512">
        <f>'[1]wydatki własne'!D1961+'[1]wydatki zlecone'!E325-'[1]wydatki zlecone'!E331+'[1]wydatki pow'!E57</f>
        <v>130869760.00999999</v>
      </c>
      <c r="F472" s="512">
        <f>'[1]wydatki własne'!E1961+'[1]wydatki zlecone'!F325-'[1]wydatki zlecone'!F331+'[1]wydatki pow'!F57</f>
        <v>153027790.35999998</v>
      </c>
      <c r="G472" s="512">
        <f>'[1]wydatki własne'!F1961+'[1]wydatki zlecone'!G325-'[1]wydatki zlecone'!G331+'[1]wydatki pow'!G57</f>
        <v>148250568.53999999</v>
      </c>
      <c r="H472" s="512">
        <f>H470+'wydatki zlecone '!J118+'wydatki pow'!J23</f>
        <v>184827770.5</v>
      </c>
      <c r="I472" s="512">
        <f>'wydatki własne'!J669+'dochody '!I458+'dochody '!I460+'dochody '!I461</f>
        <v>177484278.41</v>
      </c>
      <c r="J472" s="496"/>
      <c r="K472" s="418"/>
    </row>
    <row r="473" spans="1:12">
      <c r="A473" s="587"/>
      <c r="B473" s="593"/>
      <c r="C473" s="596"/>
      <c r="D473" s="501" t="s">
        <v>731</v>
      </c>
      <c r="E473" s="502">
        <f t="shared" ref="E473:F473" si="168">E457+E460+E461+E463-E472</f>
        <v>30981957.950000018</v>
      </c>
      <c r="F473" s="502">
        <f t="shared" si="168"/>
        <v>17619214.25000006</v>
      </c>
      <c r="G473" s="502">
        <f>G457+G460+G461+G463-G472</f>
        <v>6601057.1400000155</v>
      </c>
      <c r="H473" s="502">
        <f>H466-H472</f>
        <v>-9278356.6099999845</v>
      </c>
      <c r="I473" s="502">
        <f>I458+I460+I461+I463-I472</f>
        <v>1518816.4799999893</v>
      </c>
      <c r="J473" s="496"/>
      <c r="L473" s="496"/>
    </row>
    <row r="474" spans="1:12">
      <c r="A474" s="11"/>
      <c r="B474" s="1"/>
      <c r="C474" s="396"/>
      <c r="D474" s="506" t="s">
        <v>215</v>
      </c>
      <c r="E474" s="513"/>
      <c r="F474" s="514"/>
      <c r="G474" s="514"/>
      <c r="H474" s="513">
        <f>H467-H468</f>
        <v>-2500000</v>
      </c>
      <c r="I474" s="513">
        <v>8000000</v>
      </c>
      <c r="J474" s="496"/>
    </row>
    <row r="475" spans="1:12">
      <c r="A475" s="11"/>
      <c r="B475" s="1"/>
      <c r="C475" s="396"/>
      <c r="D475" s="515" t="s">
        <v>216</v>
      </c>
      <c r="E475" s="516">
        <f>'[1]wyd. inw'!E57</f>
        <v>32180190</v>
      </c>
      <c r="F475" s="516">
        <f>'[1]wyd. inw'!F57</f>
        <v>42162346.5</v>
      </c>
      <c r="G475" s="516">
        <f>'[1]wyd. inw'!H57+'[1]wydatki zlecone'!G331</f>
        <v>23207658.870000001</v>
      </c>
      <c r="H475" s="516">
        <f>'wyd. inw'!F31+50000</f>
        <v>16917851.59</v>
      </c>
      <c r="I475" s="516">
        <f>H475</f>
        <v>16917851.59</v>
      </c>
      <c r="J475" s="496"/>
      <c r="K475" s="496"/>
    </row>
    <row r="476" spans="1:12">
      <c r="A476" s="11"/>
      <c r="B476" s="1"/>
      <c r="C476" s="396"/>
      <c r="D476" s="508" t="s">
        <v>732</v>
      </c>
      <c r="E476" s="517">
        <f>E465-E472-E475</f>
        <v>6791780.9900000095</v>
      </c>
      <c r="F476" s="517">
        <f>F465-F472-F475</f>
        <v>-9329949.0199999511</v>
      </c>
      <c r="G476" s="517">
        <f>G465-G472-G475</f>
        <v>-7400349.5799999796</v>
      </c>
      <c r="H476" s="561">
        <f>(H465+H4316)-(H472+H475+H459+2500000)</f>
        <v>-22606098.169999987</v>
      </c>
      <c r="I476" s="516">
        <f>I465-I472-I475</f>
        <v>-9079175.6800000034</v>
      </c>
      <c r="K476" s="496"/>
    </row>
    <row r="477" spans="1:12">
      <c r="A477" s="11"/>
      <c r="B477" s="1"/>
      <c r="C477" s="396"/>
      <c r="D477" s="499"/>
      <c r="E477" s="517">
        <f>E472+E475</f>
        <v>163049950.00999999</v>
      </c>
      <c r="F477" s="517">
        <f t="shared" ref="F477:H477" si="169">F472+F475</f>
        <v>195190136.85999998</v>
      </c>
      <c r="G477" s="517">
        <f>G472+G475</f>
        <v>171458227.41</v>
      </c>
      <c r="H477" s="517">
        <f t="shared" si="169"/>
        <v>201745622.09</v>
      </c>
      <c r="I477" s="517">
        <f>I472+I475</f>
        <v>194402130</v>
      </c>
    </row>
    <row r="478" spans="1:12">
      <c r="A478" s="11"/>
      <c r="B478" s="1"/>
      <c r="C478" s="396"/>
      <c r="D478" s="499"/>
      <c r="E478" s="517"/>
      <c r="F478" s="517"/>
      <c r="G478" s="517"/>
      <c r="H478" s="518"/>
      <c r="I478" s="518"/>
      <c r="J478" s="418"/>
      <c r="K478" s="496"/>
    </row>
    <row r="479" spans="1:12" s="559" customFormat="1"/>
    <row r="480" spans="1:12" s="559" customFormat="1"/>
    <row r="481" s="559" customFormat="1"/>
    <row r="482" s="559" customFormat="1"/>
    <row r="483" s="559" customFormat="1"/>
    <row r="484" s="559" customFormat="1"/>
    <row r="485" s="559" customFormat="1"/>
    <row r="486" s="559" customFormat="1"/>
    <row r="487" s="559" customFormat="1"/>
    <row r="488" s="559" customFormat="1"/>
    <row r="489" s="559" customFormat="1"/>
    <row r="490" s="559" customFormat="1"/>
    <row r="491" s="559" customFormat="1"/>
    <row r="492" s="559" customFormat="1"/>
    <row r="493" s="559" customFormat="1"/>
    <row r="494" s="559" customFormat="1"/>
    <row r="495" s="559" customFormat="1"/>
    <row r="496" s="559" customFormat="1"/>
    <row r="497" s="559" customFormat="1"/>
    <row r="498" s="559" customFormat="1"/>
    <row r="499" s="559" customFormat="1"/>
    <row r="500" s="559" customFormat="1"/>
    <row r="501" s="559" customFormat="1"/>
    <row r="502" s="559" customFormat="1"/>
    <row r="503" s="559" customFormat="1"/>
    <row r="504" s="559" customFormat="1"/>
    <row r="505" s="559" customFormat="1"/>
    <row r="506" s="559" customFormat="1"/>
    <row r="507" s="559" customFormat="1"/>
    <row r="508" s="559" customFormat="1"/>
    <row r="509" s="559" customFormat="1"/>
    <row r="510" s="559" customFormat="1"/>
    <row r="511" s="559" customFormat="1"/>
    <row r="512" s="559" customFormat="1"/>
    <row r="513" s="559" customFormat="1"/>
    <row r="514" s="559" customFormat="1"/>
    <row r="515" s="559" customFormat="1"/>
    <row r="516" s="559" customFormat="1"/>
    <row r="517" s="559" customFormat="1"/>
    <row r="518" s="559" customFormat="1"/>
    <row r="519" s="559" customFormat="1"/>
    <row r="520" s="559" customFormat="1"/>
    <row r="521" s="559" customFormat="1"/>
    <row r="522" s="559" customFormat="1"/>
    <row r="523" s="559" customFormat="1"/>
    <row r="524" s="559" customFormat="1"/>
    <row r="525" s="559" customFormat="1"/>
    <row r="526" s="559" customFormat="1"/>
    <row r="527" s="559" customFormat="1"/>
    <row r="528" s="559" customFormat="1"/>
    <row r="529" s="559" customFormat="1"/>
    <row r="530" s="559" customFormat="1"/>
    <row r="531" s="559" customFormat="1"/>
    <row r="532" s="559" customFormat="1"/>
    <row r="533" s="559" customFormat="1"/>
    <row r="534" s="559" customFormat="1"/>
    <row r="535" s="559" customFormat="1"/>
    <row r="536" s="559" customFormat="1"/>
    <row r="537" s="559" customFormat="1"/>
    <row r="538" s="559" customFormat="1"/>
    <row r="539" s="559" customFormat="1"/>
    <row r="540" s="559" customFormat="1"/>
    <row r="541" s="559" customFormat="1"/>
    <row r="542" s="559" customFormat="1"/>
    <row r="543" s="559" customFormat="1"/>
    <row r="544" s="559" customFormat="1"/>
    <row r="545" s="559" customFormat="1"/>
    <row r="546" s="559" customFormat="1"/>
    <row r="547" s="559" customFormat="1"/>
    <row r="548" s="559" customFormat="1"/>
    <row r="549" s="559" customFormat="1"/>
    <row r="550" s="559" customFormat="1"/>
    <row r="551" s="559" customFormat="1"/>
    <row r="552" s="559" customFormat="1"/>
    <row r="553" s="559" customFormat="1"/>
    <row r="554" s="559" customFormat="1"/>
    <row r="555" s="559" customFormat="1"/>
    <row r="556" s="559" customFormat="1"/>
    <row r="557" s="559" customFormat="1"/>
    <row r="558" s="559" customFormat="1"/>
    <row r="559" s="559" customFormat="1"/>
    <row r="560" s="559" customFormat="1"/>
    <row r="561" s="559" customFormat="1"/>
    <row r="562" s="559" customFormat="1"/>
    <row r="563" s="559" customFormat="1"/>
    <row r="564" s="559" customFormat="1"/>
    <row r="565" s="559" customFormat="1"/>
    <row r="566" s="559" customFormat="1"/>
    <row r="567" s="559" customFormat="1"/>
    <row r="568" s="559" customFormat="1"/>
    <row r="569" s="559" customFormat="1"/>
    <row r="570" s="559" customFormat="1"/>
    <row r="571" s="559" customFormat="1"/>
    <row r="572" s="559" customFormat="1"/>
    <row r="573" s="559" customFormat="1"/>
    <row r="574" s="559" customFormat="1"/>
    <row r="575" s="559" customFormat="1"/>
    <row r="576" s="559" customFormat="1"/>
    <row r="577" s="559" customFormat="1"/>
    <row r="578" s="559" customFormat="1"/>
    <row r="579" s="559" customFormat="1"/>
    <row r="580" s="559" customFormat="1"/>
    <row r="581" s="559" customFormat="1"/>
    <row r="582" s="559" customFormat="1"/>
    <row r="583" s="559" customFormat="1"/>
    <row r="584" s="559" customFormat="1"/>
    <row r="585" s="559" customFormat="1"/>
    <row r="586" s="559" customFormat="1"/>
    <row r="587" s="559" customFormat="1"/>
    <row r="588" s="559" customFormat="1"/>
    <row r="589" s="559" customFormat="1"/>
    <row r="590" s="559" customFormat="1"/>
    <row r="591" s="559" customFormat="1"/>
    <row r="592" s="559" customFormat="1"/>
    <row r="593" s="559" customFormat="1"/>
    <row r="594" s="559" customFormat="1"/>
    <row r="595" s="559" customFormat="1"/>
    <row r="596" s="559" customFormat="1"/>
    <row r="597" s="559" customFormat="1"/>
    <row r="598" s="559" customFormat="1"/>
    <row r="599" s="559" customFormat="1"/>
    <row r="600" s="559" customFormat="1"/>
    <row r="601" s="559" customFormat="1"/>
    <row r="602" s="559" customFormat="1"/>
    <row r="603" s="559" customFormat="1"/>
    <row r="604" s="559" customFormat="1"/>
    <row r="605" s="559" customFormat="1"/>
    <row r="606" s="559" customFormat="1"/>
    <row r="607" s="559" customFormat="1"/>
    <row r="608" s="559" customFormat="1"/>
    <row r="609" s="559" customFormat="1"/>
    <row r="610" s="559" customFormat="1"/>
    <row r="611" s="559" customFormat="1"/>
    <row r="612" s="559" customFormat="1"/>
    <row r="613" s="559" customFormat="1"/>
    <row r="614" s="559" customFormat="1"/>
    <row r="615" s="559" customFormat="1"/>
    <row r="616" s="559" customFormat="1"/>
    <row r="617" s="559" customFormat="1"/>
    <row r="618" s="559" customFormat="1"/>
    <row r="619" s="559" customFormat="1"/>
    <row r="620" s="559" customFormat="1"/>
    <row r="621" s="559" customFormat="1"/>
    <row r="622" s="559" customFormat="1"/>
    <row r="623" s="559" customFormat="1"/>
    <row r="624" s="559" customFormat="1"/>
    <row r="625" s="559" customFormat="1"/>
    <row r="626" s="559" customFormat="1"/>
    <row r="627" s="559" customFormat="1"/>
    <row r="628" s="559" customFormat="1"/>
    <row r="629" s="559" customFormat="1"/>
    <row r="630" s="559" customFormat="1"/>
    <row r="631" s="559" customFormat="1"/>
    <row r="632" s="559" customFormat="1"/>
    <row r="633" s="559" customFormat="1"/>
    <row r="634" s="559" customFormat="1"/>
    <row r="635" s="559" customFormat="1"/>
    <row r="636" s="559" customFormat="1"/>
    <row r="637" s="559" customFormat="1"/>
    <row r="638" s="559" customFormat="1"/>
    <row r="639" s="559" customFormat="1"/>
    <row r="640" s="559" customFormat="1"/>
    <row r="641" s="559" customFormat="1"/>
    <row r="642" s="559" customFormat="1"/>
    <row r="643" s="559" customFormat="1"/>
    <row r="644" s="559" customFormat="1"/>
    <row r="645" s="559" customFormat="1"/>
    <row r="646" s="559" customFormat="1"/>
    <row r="647" s="559" customFormat="1"/>
    <row r="648" s="559" customFormat="1"/>
    <row r="649" s="559" customFormat="1"/>
    <row r="650" s="559" customFormat="1"/>
    <row r="651" s="559" customFormat="1"/>
    <row r="652" s="559" customFormat="1"/>
    <row r="653" s="559" customFormat="1"/>
    <row r="654" s="559" customFormat="1"/>
    <row r="655" s="559" customFormat="1"/>
    <row r="656" s="559" customFormat="1"/>
    <row r="657" s="559" customFormat="1"/>
    <row r="658" s="559" customFormat="1"/>
    <row r="659" s="559" customFormat="1"/>
    <row r="660" s="559" customFormat="1"/>
    <row r="661" s="559" customFormat="1"/>
    <row r="662" s="559" customFormat="1"/>
    <row r="663" s="559" customFormat="1"/>
    <row r="664" s="559" customFormat="1"/>
    <row r="665" s="559" customFormat="1"/>
    <row r="666" s="559" customFormat="1"/>
    <row r="667" s="559" customFormat="1"/>
    <row r="668" s="559" customFormat="1"/>
    <row r="669" s="559" customFormat="1"/>
    <row r="670" s="559" customFormat="1"/>
    <row r="671" s="559" customFormat="1"/>
    <row r="672" s="559" customFormat="1"/>
    <row r="673" s="559" customFormat="1"/>
    <row r="674" s="559" customFormat="1"/>
    <row r="675" s="559" customFormat="1"/>
    <row r="676" s="559" customFormat="1"/>
    <row r="677" s="559" customFormat="1"/>
    <row r="678" s="559" customFormat="1"/>
    <row r="679" s="559" customFormat="1"/>
    <row r="680" s="559" customFormat="1"/>
    <row r="681" s="559" customFormat="1"/>
    <row r="682" s="559" customFormat="1"/>
    <row r="683" s="559" customFormat="1"/>
    <row r="684" s="559" customFormat="1"/>
    <row r="685" s="559" customFormat="1"/>
    <row r="686" s="559" customFormat="1"/>
    <row r="687" s="559" customFormat="1"/>
    <row r="688" s="559" customFormat="1"/>
    <row r="689" s="559" customFormat="1"/>
    <row r="690" s="559" customFormat="1"/>
    <row r="691" s="559" customFormat="1"/>
    <row r="692" s="559" customFormat="1"/>
    <row r="693" s="559" customFormat="1"/>
    <row r="694" s="559" customFormat="1"/>
    <row r="695" s="559" customFormat="1"/>
    <row r="696" s="559" customFormat="1"/>
    <row r="697" s="559" customFormat="1"/>
    <row r="698" s="559" customFormat="1"/>
    <row r="699" s="559" customFormat="1"/>
    <row r="700" s="559" customFormat="1"/>
    <row r="701" s="559" customFormat="1"/>
    <row r="702" s="559" customFormat="1"/>
    <row r="703" s="559" customFormat="1"/>
    <row r="704" s="559" customFormat="1"/>
    <row r="705" s="559" customFormat="1"/>
    <row r="706" s="559" customFormat="1"/>
    <row r="707" s="559" customFormat="1"/>
    <row r="708" s="559" customFormat="1"/>
    <row r="709" s="559" customFormat="1"/>
    <row r="710" s="559" customFormat="1"/>
    <row r="711" s="559" customFormat="1"/>
    <row r="712" s="559" customFormat="1"/>
    <row r="713" s="559" customFormat="1"/>
    <row r="714" s="559" customFormat="1"/>
    <row r="715" s="559" customFormat="1"/>
    <row r="716" s="559" customFormat="1"/>
    <row r="717" s="559" customFormat="1"/>
    <row r="718" s="559" customFormat="1"/>
    <row r="719" s="559" customFormat="1"/>
    <row r="720" s="559" customFormat="1"/>
    <row r="721" s="559" customFormat="1"/>
    <row r="722" s="559" customFormat="1"/>
    <row r="723" s="559" customFormat="1"/>
    <row r="724" s="559" customFormat="1"/>
    <row r="725" s="559" customFormat="1"/>
    <row r="726" s="559" customFormat="1"/>
    <row r="727" s="559" customFormat="1"/>
    <row r="728" s="559" customFormat="1"/>
    <row r="729" s="559" customFormat="1"/>
    <row r="730" s="559" customFormat="1"/>
    <row r="731" s="559" customFormat="1"/>
    <row r="732" s="559" customFormat="1"/>
    <row r="733" s="559" customFormat="1"/>
    <row r="734" s="559" customFormat="1"/>
    <row r="735" s="559" customFormat="1"/>
    <row r="736" s="559" customFormat="1"/>
    <row r="737" s="559" customFormat="1"/>
    <row r="738" s="559" customFormat="1"/>
    <row r="739" s="559" customFormat="1"/>
    <row r="740" s="559" customFormat="1"/>
    <row r="741" s="559" customFormat="1"/>
    <row r="742" s="559" customFormat="1"/>
    <row r="743" s="559" customFormat="1"/>
    <row r="744" s="559" customFormat="1"/>
    <row r="745" s="559" customFormat="1"/>
    <row r="746" s="559" customFormat="1"/>
    <row r="747" s="559" customFormat="1"/>
    <row r="748" s="559" customFormat="1"/>
    <row r="749" s="559" customFormat="1"/>
    <row r="750" s="559" customFormat="1"/>
    <row r="751" s="559" customFormat="1"/>
    <row r="752" s="559" customFormat="1"/>
    <row r="753" s="559" customFormat="1"/>
    <row r="754" s="559" customFormat="1"/>
    <row r="755" s="559" customFormat="1"/>
    <row r="756" s="559" customFormat="1"/>
    <row r="757" s="559" customFormat="1"/>
    <row r="758" s="559" customFormat="1"/>
    <row r="759" s="559" customFormat="1"/>
    <row r="760" s="559" customFormat="1"/>
    <row r="761" s="559" customFormat="1"/>
    <row r="762" s="559" customFormat="1"/>
    <row r="763" s="559" customFormat="1"/>
    <row r="764" s="559" customFormat="1"/>
    <row r="765" s="559" customFormat="1"/>
    <row r="766" s="559" customFormat="1"/>
    <row r="767" s="559" customFormat="1"/>
    <row r="768" s="559" customFormat="1"/>
    <row r="769" s="559" customFormat="1"/>
    <row r="770" s="559" customFormat="1"/>
    <row r="771" s="559" customFormat="1"/>
    <row r="772" s="559" customFormat="1"/>
    <row r="773" s="559" customFormat="1"/>
    <row r="774" s="559" customFormat="1"/>
    <row r="775" s="559" customFormat="1"/>
    <row r="776" s="559" customFormat="1"/>
    <row r="777" s="559" customFormat="1"/>
    <row r="778" s="559" customFormat="1"/>
    <row r="779" s="559" customFormat="1"/>
    <row r="780" s="559" customFormat="1"/>
    <row r="781" s="559" customFormat="1"/>
    <row r="782" s="559" customFormat="1"/>
    <row r="783" s="559" customFormat="1"/>
    <row r="784" s="559" customFormat="1"/>
    <row r="785" s="559" customFormat="1"/>
    <row r="786" s="559" customFormat="1"/>
    <row r="787" s="559" customFormat="1"/>
    <row r="788" s="559" customFormat="1"/>
    <row r="789" s="559" customFormat="1"/>
    <row r="790" s="559" customFormat="1"/>
    <row r="791" s="559" customFormat="1"/>
    <row r="792" s="559" customFormat="1"/>
    <row r="793" s="559" customFormat="1"/>
    <row r="794" s="559" customFormat="1"/>
    <row r="795" s="559" customFormat="1"/>
    <row r="796" s="559" customFormat="1"/>
    <row r="797" s="559" customFormat="1"/>
    <row r="798" s="559" customFormat="1"/>
    <row r="799" s="559" customFormat="1"/>
    <row r="800" s="559" customFormat="1"/>
    <row r="801" s="559" customFormat="1"/>
    <row r="802" s="559" customFormat="1"/>
    <row r="803" s="559" customFormat="1"/>
    <row r="804" s="559" customFormat="1"/>
    <row r="805" s="559" customFormat="1"/>
    <row r="806" s="559" customFormat="1"/>
    <row r="807" s="559" customFormat="1"/>
    <row r="808" s="559" customFormat="1"/>
    <row r="809" s="559" customFormat="1"/>
    <row r="810" s="559" customFormat="1"/>
    <row r="811" s="559" customFormat="1"/>
    <row r="812" s="559" customFormat="1"/>
    <row r="813" s="559" customFormat="1"/>
    <row r="814" s="559" customFormat="1"/>
    <row r="815" s="559" customFormat="1"/>
    <row r="816" s="559" customFormat="1"/>
    <row r="817" s="559" customFormat="1"/>
    <row r="818" s="559" customFormat="1"/>
    <row r="819" s="559" customFormat="1"/>
    <row r="820" s="559" customFormat="1"/>
    <row r="821" s="559" customFormat="1"/>
    <row r="822" s="559" customFormat="1"/>
    <row r="823" s="559" customFormat="1"/>
    <row r="824" s="559" customFormat="1"/>
    <row r="825" s="559" customFormat="1"/>
    <row r="826" s="559" customFormat="1"/>
    <row r="827" s="559" customFormat="1"/>
    <row r="828" s="559" customFormat="1"/>
    <row r="829" s="559" customFormat="1"/>
    <row r="830" s="559" customFormat="1"/>
    <row r="831" s="559" customFormat="1"/>
    <row r="832" s="559" customFormat="1"/>
    <row r="833" s="559" customFormat="1"/>
    <row r="834" s="559" customFormat="1"/>
  </sheetData>
  <mergeCells count="16">
    <mergeCell ref="A5:I8"/>
    <mergeCell ref="A9:A12"/>
    <mergeCell ref="B9:B12"/>
    <mergeCell ref="C9:C12"/>
    <mergeCell ref="D9:D12"/>
    <mergeCell ref="E9:G9"/>
    <mergeCell ref="E10:E11"/>
    <mergeCell ref="F10:F11"/>
    <mergeCell ref="G10:G11"/>
    <mergeCell ref="H10:H11"/>
    <mergeCell ref="I10:I11"/>
    <mergeCell ref="A457:A464"/>
    <mergeCell ref="A465:D465"/>
    <mergeCell ref="A466:A473"/>
    <mergeCell ref="B466:B473"/>
    <mergeCell ref="C466:C473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07CFD-146C-4ABB-8DE5-38E778ABD25E}">
  <dimension ref="A1:O718"/>
  <sheetViews>
    <sheetView zoomScale="130" zoomScaleNormal="130" workbookViewId="0">
      <selection sqref="A1:J717"/>
    </sheetView>
  </sheetViews>
  <sheetFormatPr defaultRowHeight="15"/>
  <cols>
    <col min="3" max="3" width="34" customWidth="1"/>
    <col min="4" max="4" width="13.42578125" customWidth="1"/>
    <col min="5" max="5" width="13.28515625" customWidth="1"/>
    <col min="6" max="6" width="16.42578125" bestFit="1" customWidth="1"/>
    <col min="7" max="7" width="11.28515625" customWidth="1"/>
    <col min="8" max="8" width="10.42578125" customWidth="1"/>
    <col min="9" max="9" width="16.28515625" customWidth="1"/>
    <col min="10" max="10" width="13.7109375" style="559" customWidth="1"/>
    <col min="11" max="11" width="22.42578125" style="12" customWidth="1"/>
    <col min="12" max="14" width="11.7109375" bestFit="1" customWidth="1"/>
  </cols>
  <sheetData>
    <row r="1" spans="1:12" s="18" customFormat="1" ht="12.75">
      <c r="A1" s="617" t="s">
        <v>734</v>
      </c>
      <c r="B1" s="617"/>
      <c r="C1" s="617"/>
      <c r="D1" s="617"/>
      <c r="E1" s="617"/>
      <c r="F1" s="617"/>
      <c r="G1" s="16"/>
      <c r="H1" s="16"/>
      <c r="I1" s="17" t="s">
        <v>220</v>
      </c>
      <c r="J1" s="572"/>
      <c r="K1" s="28"/>
    </row>
    <row r="2" spans="1:12" s="18" customFormat="1" ht="12.75">
      <c r="A2" s="617"/>
      <c r="B2" s="617"/>
      <c r="C2" s="617"/>
      <c r="D2" s="617"/>
      <c r="E2" s="617"/>
      <c r="F2" s="617"/>
      <c r="G2" s="16"/>
      <c r="H2" s="16"/>
      <c r="I2" s="17" t="s">
        <v>221</v>
      </c>
      <c r="J2" s="572"/>
      <c r="K2" s="28"/>
    </row>
    <row r="3" spans="1:12" s="18" customFormat="1" ht="12.75">
      <c r="A3" s="617"/>
      <c r="B3" s="617"/>
      <c r="C3" s="617"/>
      <c r="D3" s="617"/>
      <c r="E3" s="617"/>
      <c r="F3" s="617"/>
      <c r="G3" s="16"/>
      <c r="H3" s="16"/>
      <c r="I3" s="17" t="s">
        <v>736</v>
      </c>
      <c r="J3" s="572"/>
      <c r="K3" s="28"/>
    </row>
    <row r="4" spans="1:12" s="18" customFormat="1" ht="12.75">
      <c r="A4" s="617"/>
      <c r="B4" s="617"/>
      <c r="C4" s="617"/>
      <c r="D4" s="617"/>
      <c r="E4" s="617"/>
      <c r="F4" s="617"/>
      <c r="G4" s="16"/>
      <c r="H4" s="16"/>
      <c r="I4" s="19"/>
      <c r="J4" s="573"/>
      <c r="K4" s="28"/>
    </row>
    <row r="5" spans="1:12" s="18" customFormat="1" ht="12.75">
      <c r="A5" s="15"/>
      <c r="B5" s="15"/>
      <c r="C5" s="15"/>
      <c r="D5" s="21"/>
      <c r="E5" s="15"/>
      <c r="F5" s="16"/>
      <c r="G5" s="16"/>
      <c r="H5" s="16"/>
      <c r="I5" s="19"/>
      <c r="J5" s="573"/>
      <c r="K5" s="28"/>
    </row>
    <row r="6" spans="1:12" s="18" customFormat="1" ht="12.75">
      <c r="A6" s="22"/>
      <c r="B6" s="22"/>
      <c r="C6" s="22"/>
      <c r="D6" s="23"/>
      <c r="E6" s="22"/>
      <c r="F6" s="24"/>
      <c r="G6" s="24"/>
      <c r="H6" s="24"/>
      <c r="I6" s="25"/>
      <c r="J6" s="574"/>
      <c r="K6" s="28"/>
    </row>
    <row r="7" spans="1:12" s="18" customFormat="1" ht="12.75">
      <c r="A7" s="618" t="s">
        <v>711</v>
      </c>
      <c r="B7" s="618" t="s">
        <v>3</v>
      </c>
      <c r="C7" s="619" t="s">
        <v>5</v>
      </c>
      <c r="D7" s="621" t="s">
        <v>735</v>
      </c>
      <c r="E7" s="621"/>
      <c r="F7" s="621"/>
      <c r="G7" s="26"/>
      <c r="H7" s="613" t="s">
        <v>737</v>
      </c>
      <c r="I7" s="613"/>
      <c r="J7" s="613"/>
      <c r="K7" s="28"/>
    </row>
    <row r="8" spans="1:12" s="18" customFormat="1" ht="66" customHeight="1">
      <c r="A8" s="618"/>
      <c r="B8" s="618"/>
      <c r="C8" s="620"/>
      <c r="D8" s="614" t="s">
        <v>8</v>
      </c>
      <c r="E8" s="615" t="s">
        <v>222</v>
      </c>
      <c r="F8" s="616" t="s">
        <v>10</v>
      </c>
      <c r="G8" s="616" t="s">
        <v>792</v>
      </c>
      <c r="H8" s="616" t="s">
        <v>793</v>
      </c>
      <c r="I8" s="27" t="s">
        <v>223</v>
      </c>
      <c r="J8" s="624" t="s">
        <v>224</v>
      </c>
      <c r="K8" s="28"/>
      <c r="L8" s="28"/>
    </row>
    <row r="9" spans="1:12" s="18" customFormat="1" ht="12.75">
      <c r="A9" s="618"/>
      <c r="B9" s="618"/>
      <c r="C9" s="620"/>
      <c r="D9" s="614"/>
      <c r="E9" s="615"/>
      <c r="F9" s="616"/>
      <c r="G9" s="616"/>
      <c r="H9" s="616"/>
      <c r="I9" s="29"/>
      <c r="J9" s="624"/>
      <c r="K9" s="28"/>
    </row>
    <row r="10" spans="1:12" s="18" customFormat="1" ht="12.75">
      <c r="A10" s="618"/>
      <c r="B10" s="618"/>
      <c r="C10" s="620"/>
      <c r="D10" s="625" t="s">
        <v>11</v>
      </c>
      <c r="E10" s="626"/>
      <c r="F10" s="626"/>
      <c r="G10" s="626"/>
      <c r="H10" s="626"/>
      <c r="I10" s="627"/>
      <c r="J10" s="575"/>
      <c r="K10" s="28"/>
    </row>
    <row r="11" spans="1:12" s="32" customFormat="1" ht="12.75">
      <c r="A11" s="30">
        <v>1</v>
      </c>
      <c r="B11" s="30">
        <v>2</v>
      </c>
      <c r="C11" s="31">
        <v>3</v>
      </c>
      <c r="D11" s="31">
        <v>4</v>
      </c>
      <c r="E11" s="30">
        <v>5</v>
      </c>
      <c r="F11" s="30">
        <v>6</v>
      </c>
      <c r="G11" s="30">
        <v>7</v>
      </c>
      <c r="H11" s="30">
        <v>8</v>
      </c>
      <c r="I11" s="30">
        <v>9</v>
      </c>
      <c r="J11" s="576">
        <v>10</v>
      </c>
      <c r="K11" s="354"/>
    </row>
    <row r="12" spans="1:12" s="18" customFormat="1" ht="12.75">
      <c r="A12" s="33" t="s">
        <v>15</v>
      </c>
      <c r="B12" s="34"/>
      <c r="C12" s="35" t="s">
        <v>16</v>
      </c>
      <c r="D12" s="36">
        <v>90000</v>
      </c>
      <c r="E12" s="36">
        <f t="shared" ref="E12:J12" si="0">E13+E17</f>
        <v>90000</v>
      </c>
      <c r="F12" s="36">
        <f t="shared" si="0"/>
        <v>40689.1</v>
      </c>
      <c r="G12" s="36">
        <f t="shared" si="0"/>
        <v>0</v>
      </c>
      <c r="H12" s="36">
        <f t="shared" si="0"/>
        <v>0</v>
      </c>
      <c r="I12" s="36">
        <f t="shared" si="0"/>
        <v>68207</v>
      </c>
      <c r="J12" s="36">
        <f t="shared" si="0"/>
        <v>66207</v>
      </c>
      <c r="K12" s="28"/>
    </row>
    <row r="13" spans="1:12" s="40" customFormat="1" ht="12.75">
      <c r="A13" s="628"/>
      <c r="B13" s="37" t="s">
        <v>17</v>
      </c>
      <c r="C13" s="38" t="s">
        <v>18</v>
      </c>
      <c r="D13" s="39">
        <v>40000</v>
      </c>
      <c r="E13" s="39">
        <f t="shared" ref="E13:J13" si="1">E14</f>
        <v>33663.83</v>
      </c>
      <c r="F13" s="39">
        <f t="shared" si="1"/>
        <v>0</v>
      </c>
      <c r="G13" s="39">
        <f t="shared" si="1"/>
        <v>0</v>
      </c>
      <c r="H13" s="39">
        <f t="shared" si="1"/>
        <v>0</v>
      </c>
      <c r="I13" s="39">
        <f t="shared" si="1"/>
        <v>10000</v>
      </c>
      <c r="J13" s="39">
        <f t="shared" si="1"/>
        <v>10000</v>
      </c>
      <c r="K13" s="61"/>
    </row>
    <row r="14" spans="1:12" s="40" customFormat="1" ht="25.5">
      <c r="A14" s="629"/>
      <c r="B14" s="631"/>
      <c r="C14" s="42" t="s">
        <v>225</v>
      </c>
      <c r="D14" s="43">
        <v>40000</v>
      </c>
      <c r="E14" s="43">
        <f t="shared" ref="E14:J14" si="2">E15+E16</f>
        <v>33663.83</v>
      </c>
      <c r="F14" s="43">
        <f>F15+F16</f>
        <v>0</v>
      </c>
      <c r="G14" s="43">
        <f t="shared" si="2"/>
        <v>0</v>
      </c>
      <c r="H14" s="43">
        <f t="shared" si="2"/>
        <v>0</v>
      </c>
      <c r="I14" s="43">
        <f t="shared" si="2"/>
        <v>10000</v>
      </c>
      <c r="J14" s="43">
        <f t="shared" si="2"/>
        <v>10000</v>
      </c>
      <c r="K14" s="61"/>
    </row>
    <row r="15" spans="1:12" s="48" customFormat="1" ht="25.5">
      <c r="A15" s="629"/>
      <c r="B15" s="631"/>
      <c r="C15" s="44" t="s">
        <v>226</v>
      </c>
      <c r="D15" s="45">
        <v>40000</v>
      </c>
      <c r="E15" s="45">
        <v>33663.83</v>
      </c>
      <c r="F15" s="46">
        <v>0</v>
      </c>
      <c r="G15" s="46">
        <v>0</v>
      </c>
      <c r="H15" s="46">
        <v>0</v>
      </c>
      <c r="I15" s="46">
        <v>10000</v>
      </c>
      <c r="J15" s="46">
        <v>10000</v>
      </c>
      <c r="K15" s="58"/>
    </row>
    <row r="16" spans="1:12" s="48" customFormat="1" ht="12.75">
      <c r="A16" s="629"/>
      <c r="B16" s="34"/>
      <c r="C16" s="49" t="s">
        <v>227</v>
      </c>
      <c r="D16" s="45">
        <v>0</v>
      </c>
      <c r="E16" s="45">
        <v>0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58"/>
    </row>
    <row r="17" spans="1:13" s="40" customFormat="1" ht="12.75">
      <c r="A17" s="629"/>
      <c r="B17" s="37" t="s">
        <v>228</v>
      </c>
      <c r="C17" s="38" t="s">
        <v>229</v>
      </c>
      <c r="D17" s="39">
        <v>50000</v>
      </c>
      <c r="E17" s="39">
        <f t="shared" ref="E17:J17" si="3">E18</f>
        <v>56336.17</v>
      </c>
      <c r="F17" s="39">
        <f t="shared" si="3"/>
        <v>40689.1</v>
      </c>
      <c r="G17" s="39">
        <f t="shared" si="3"/>
        <v>0</v>
      </c>
      <c r="H17" s="39">
        <f t="shared" si="3"/>
        <v>0</v>
      </c>
      <c r="I17" s="39">
        <f t="shared" si="3"/>
        <v>58207</v>
      </c>
      <c r="J17" s="39">
        <f t="shared" si="3"/>
        <v>56207</v>
      </c>
      <c r="K17" s="61"/>
    </row>
    <row r="18" spans="1:13" s="40" customFormat="1" ht="25.5">
      <c r="A18" s="629"/>
      <c r="B18" s="631"/>
      <c r="C18" s="42" t="s">
        <v>225</v>
      </c>
      <c r="D18" s="43">
        <v>50000</v>
      </c>
      <c r="E18" s="43">
        <f>E19+E20</f>
        <v>56336.17</v>
      </c>
      <c r="F18" s="43">
        <f>F19+F20</f>
        <v>40689.1</v>
      </c>
      <c r="G18" s="43">
        <f>G19+G20</f>
        <v>0</v>
      </c>
      <c r="H18" s="43"/>
      <c r="I18" s="43">
        <f>I19+I20</f>
        <v>58207</v>
      </c>
      <c r="J18" s="43">
        <f>J19+J20</f>
        <v>56207</v>
      </c>
      <c r="K18" s="61"/>
    </row>
    <row r="19" spans="1:13" s="48" customFormat="1" ht="25.5">
      <c r="A19" s="630"/>
      <c r="B19" s="631"/>
      <c r="C19" s="44" t="s">
        <v>226</v>
      </c>
      <c r="D19" s="45">
        <v>50000</v>
      </c>
      <c r="E19" s="45">
        <v>56336.17</v>
      </c>
      <c r="F19" s="46">
        <v>40689.1</v>
      </c>
      <c r="G19" s="46">
        <v>0</v>
      </c>
      <c r="H19" s="46">
        <v>0</v>
      </c>
      <c r="I19" s="46">
        <v>58207</v>
      </c>
      <c r="J19" s="46">
        <v>56207</v>
      </c>
      <c r="K19" s="58"/>
    </row>
    <row r="20" spans="1:13" s="48" customFormat="1" ht="25.5">
      <c r="A20" s="50"/>
      <c r="B20" s="34"/>
      <c r="C20" s="44" t="s">
        <v>230</v>
      </c>
      <c r="D20" s="45">
        <v>0</v>
      </c>
      <c r="E20" s="45">
        <v>0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58"/>
    </row>
    <row r="21" spans="1:13" s="18" customFormat="1" ht="12.75">
      <c r="A21" s="33">
        <v>600</v>
      </c>
      <c r="B21" s="34"/>
      <c r="C21" s="35" t="s">
        <v>20</v>
      </c>
      <c r="D21" s="36">
        <v>6416523.8200000003</v>
      </c>
      <c r="E21" s="36">
        <f>E22+E43+E40</f>
        <v>6345075.3799999999</v>
      </c>
      <c r="F21" s="36">
        <f>F22+F43</f>
        <v>5868419</v>
      </c>
      <c r="G21" s="36">
        <f>G22+G43</f>
        <v>29794</v>
      </c>
      <c r="H21" s="36">
        <f>H22+H43</f>
        <v>0</v>
      </c>
      <c r="I21" s="36">
        <f>I22+I43</f>
        <v>6746316.7999999998</v>
      </c>
      <c r="J21" s="36">
        <f>J22+J43</f>
        <v>6494360</v>
      </c>
      <c r="K21" s="28"/>
    </row>
    <row r="22" spans="1:13" s="40" customFormat="1">
      <c r="A22" s="51"/>
      <c r="B22" s="37">
        <v>60014</v>
      </c>
      <c r="C22" s="38" t="s">
        <v>21</v>
      </c>
      <c r="D22" s="39">
        <v>6412523.8200000003</v>
      </c>
      <c r="E22" s="39">
        <f t="shared" ref="E22:J22" si="4">E23+E27+E31+E33</f>
        <v>6318935.3799999999</v>
      </c>
      <c r="F22" s="39">
        <f t="shared" si="4"/>
        <v>5864419</v>
      </c>
      <c r="G22" s="39">
        <f t="shared" si="4"/>
        <v>29794</v>
      </c>
      <c r="H22" s="39">
        <f t="shared" si="4"/>
        <v>0</v>
      </c>
      <c r="I22" s="39">
        <f t="shared" si="4"/>
        <v>6742316.7999999998</v>
      </c>
      <c r="J22" s="39">
        <f t="shared" si="4"/>
        <v>6490360</v>
      </c>
      <c r="K22" s="61"/>
    </row>
    <row r="23" spans="1:13" s="40" customFormat="1">
      <c r="A23" s="52"/>
      <c r="B23" s="53"/>
      <c r="C23" s="42" t="s">
        <v>231</v>
      </c>
      <c r="D23" s="43">
        <v>10010</v>
      </c>
      <c r="E23" s="43">
        <f t="shared" ref="E23:J23" si="5">E24+E25+E26</f>
        <v>10010</v>
      </c>
      <c r="F23" s="43">
        <f t="shared" si="5"/>
        <v>0</v>
      </c>
      <c r="G23" s="43">
        <f t="shared" si="5"/>
        <v>0</v>
      </c>
      <c r="H23" s="43">
        <f t="shared" si="5"/>
        <v>0</v>
      </c>
      <c r="I23" s="43">
        <f t="shared" si="5"/>
        <v>20000</v>
      </c>
      <c r="J23" s="43">
        <f t="shared" si="5"/>
        <v>10010</v>
      </c>
      <c r="K23" s="61"/>
    </row>
    <row r="24" spans="1:13" s="48" customFormat="1" ht="25.5">
      <c r="A24" s="52"/>
      <c r="B24" s="53"/>
      <c r="C24" s="44" t="s">
        <v>230</v>
      </c>
      <c r="D24" s="45">
        <v>0</v>
      </c>
      <c r="E24" s="45">
        <v>0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58"/>
    </row>
    <row r="25" spans="1:13" s="48" customFormat="1">
      <c r="A25" s="52"/>
      <c r="B25" s="53"/>
      <c r="C25" s="54" t="s">
        <v>227</v>
      </c>
      <c r="D25" s="45">
        <v>0</v>
      </c>
      <c r="E25" s="45">
        <v>0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58"/>
    </row>
    <row r="26" spans="1:13" s="48" customFormat="1" ht="25.5">
      <c r="A26" s="52"/>
      <c r="B26" s="53"/>
      <c r="C26" s="49" t="s">
        <v>226</v>
      </c>
      <c r="D26" s="45">
        <v>10010</v>
      </c>
      <c r="E26" s="45">
        <v>10010</v>
      </c>
      <c r="F26" s="46">
        <v>0</v>
      </c>
      <c r="G26" s="46">
        <v>0</v>
      </c>
      <c r="H26" s="46">
        <v>0</v>
      </c>
      <c r="I26" s="55">
        <v>20000</v>
      </c>
      <c r="J26" s="55">
        <v>10010</v>
      </c>
      <c r="K26" s="58"/>
    </row>
    <row r="27" spans="1:13" s="40" customFormat="1">
      <c r="A27" s="52"/>
      <c r="B27" s="53"/>
      <c r="C27" s="42" t="s">
        <v>232</v>
      </c>
      <c r="D27" s="43">
        <v>2402513.8199999998</v>
      </c>
      <c r="E27" s="43">
        <f t="shared" ref="E27:J27" si="6">E28+E29+E30</f>
        <v>2402513.8199999998</v>
      </c>
      <c r="F27" s="43">
        <f t="shared" si="6"/>
        <v>2431078</v>
      </c>
      <c r="G27" s="43">
        <f t="shared" si="6"/>
        <v>29794</v>
      </c>
      <c r="H27" s="43">
        <f t="shared" si="6"/>
        <v>0</v>
      </c>
      <c r="I27" s="43">
        <f t="shared" si="6"/>
        <v>2528281.7999999998</v>
      </c>
      <c r="J27" s="43">
        <f t="shared" si="6"/>
        <v>2480350</v>
      </c>
      <c r="K27" s="61"/>
    </row>
    <row r="28" spans="1:13" s="48" customFormat="1" ht="17.25" customHeight="1">
      <c r="A28" s="52"/>
      <c r="B28" s="53"/>
      <c r="C28" s="56" t="s">
        <v>230</v>
      </c>
      <c r="D28" s="45">
        <v>2115542</v>
      </c>
      <c r="E28" s="57">
        <v>2115542</v>
      </c>
      <c r="F28" s="57">
        <v>2172769</v>
      </c>
      <c r="G28" s="57">
        <v>29794</v>
      </c>
      <c r="H28" s="57">
        <v>0</v>
      </c>
      <c r="I28" s="57">
        <v>2182031</v>
      </c>
      <c r="J28" s="57">
        <v>2182031</v>
      </c>
      <c r="K28" s="58"/>
      <c r="L28" s="58"/>
      <c r="M28" s="58"/>
    </row>
    <row r="29" spans="1:13" s="48" customFormat="1">
      <c r="A29" s="52"/>
      <c r="B29" s="53"/>
      <c r="C29" s="54" t="s">
        <v>227</v>
      </c>
      <c r="D29" s="45">
        <v>73804</v>
      </c>
      <c r="E29" s="57">
        <v>73804</v>
      </c>
      <c r="F29" s="57">
        <v>73804</v>
      </c>
      <c r="G29" s="57">
        <v>0</v>
      </c>
      <c r="H29" s="57">
        <v>0</v>
      </c>
      <c r="I29" s="57">
        <v>85588</v>
      </c>
      <c r="J29" s="57">
        <v>85588</v>
      </c>
      <c r="K29" s="58"/>
    </row>
    <row r="30" spans="1:13" s="48" customFormat="1" ht="25.5">
      <c r="A30" s="52"/>
      <c r="B30" s="53"/>
      <c r="C30" s="54" t="s">
        <v>226</v>
      </c>
      <c r="D30" s="45">
        <v>213167.82</v>
      </c>
      <c r="E30" s="57">
        <v>213167.82</v>
      </c>
      <c r="F30" s="57">
        <v>184505</v>
      </c>
      <c r="G30" s="57">
        <v>0</v>
      </c>
      <c r="H30" s="57">
        <v>0</v>
      </c>
      <c r="I30" s="57">
        <v>260662.8</v>
      </c>
      <c r="J30" s="57">
        <v>212731</v>
      </c>
      <c r="K30" s="58"/>
    </row>
    <row r="31" spans="1:13" s="48" customFormat="1">
      <c r="A31" s="52"/>
      <c r="B31" s="53"/>
      <c r="C31" s="42" t="s">
        <v>233</v>
      </c>
      <c r="D31" s="43">
        <v>0</v>
      </c>
      <c r="E31" s="43">
        <f t="shared" ref="E31:J31" si="7">E32</f>
        <v>0</v>
      </c>
      <c r="F31" s="43">
        <f t="shared" si="7"/>
        <v>0</v>
      </c>
      <c r="G31" s="43">
        <f t="shared" si="7"/>
        <v>0</v>
      </c>
      <c r="H31" s="43">
        <f t="shared" si="7"/>
        <v>0</v>
      </c>
      <c r="I31" s="43">
        <f t="shared" si="7"/>
        <v>0</v>
      </c>
      <c r="J31" s="43">
        <f t="shared" si="7"/>
        <v>0</v>
      </c>
      <c r="K31" s="58"/>
    </row>
    <row r="32" spans="1:13" s="48" customFormat="1" ht="25.5">
      <c r="A32" s="52"/>
      <c r="B32" s="53"/>
      <c r="C32" s="54" t="s">
        <v>226</v>
      </c>
      <c r="D32" s="45">
        <v>0</v>
      </c>
      <c r="E32" s="57">
        <v>0</v>
      </c>
      <c r="F32" s="57">
        <v>0</v>
      </c>
      <c r="G32" s="57">
        <v>0</v>
      </c>
      <c r="H32" s="57">
        <v>0</v>
      </c>
      <c r="I32" s="57">
        <v>0</v>
      </c>
      <c r="J32" s="57">
        <v>0</v>
      </c>
      <c r="K32" s="58"/>
      <c r="L32" s="58"/>
    </row>
    <row r="33" spans="1:14" s="40" customFormat="1">
      <c r="A33" s="52"/>
      <c r="B33" s="53"/>
      <c r="C33" s="42" t="s">
        <v>234</v>
      </c>
      <c r="D33" s="43">
        <v>4000000</v>
      </c>
      <c r="E33" s="43">
        <f t="shared" ref="E33:J33" si="8">E34+E38+E39</f>
        <v>3906411.56</v>
      </c>
      <c r="F33" s="43">
        <f t="shared" si="8"/>
        <v>3433341</v>
      </c>
      <c r="G33" s="43">
        <f t="shared" si="8"/>
        <v>0</v>
      </c>
      <c r="H33" s="43">
        <f t="shared" si="8"/>
        <v>0</v>
      </c>
      <c r="I33" s="43">
        <f t="shared" si="8"/>
        <v>4194035</v>
      </c>
      <c r="J33" s="43">
        <f t="shared" si="8"/>
        <v>4000000</v>
      </c>
      <c r="K33" s="61"/>
    </row>
    <row r="34" spans="1:14" s="40" customFormat="1">
      <c r="A34" s="52"/>
      <c r="B34" s="53"/>
      <c r="C34" s="49" t="s">
        <v>235</v>
      </c>
      <c r="D34" s="45">
        <v>110035</v>
      </c>
      <c r="E34" s="45">
        <f t="shared" ref="E34:J34" si="9">E35+E36+E37</f>
        <v>110035</v>
      </c>
      <c r="F34" s="45">
        <f t="shared" si="9"/>
        <v>110035</v>
      </c>
      <c r="G34" s="45">
        <f t="shared" si="9"/>
        <v>0</v>
      </c>
      <c r="H34" s="45">
        <f t="shared" si="9"/>
        <v>0</v>
      </c>
      <c r="I34" s="45">
        <f t="shared" si="9"/>
        <v>110035</v>
      </c>
      <c r="J34" s="45">
        <f t="shared" si="9"/>
        <v>110035</v>
      </c>
      <c r="K34" s="61"/>
    </row>
    <row r="35" spans="1:14" s="40" customFormat="1">
      <c r="A35" s="52"/>
      <c r="B35" s="53"/>
      <c r="C35" s="59" t="s">
        <v>164</v>
      </c>
      <c r="D35" s="373">
        <v>84753</v>
      </c>
      <c r="E35" s="60">
        <f>D35</f>
        <v>84753</v>
      </c>
      <c r="F35" s="60">
        <v>84753</v>
      </c>
      <c r="G35" s="60">
        <v>0</v>
      </c>
      <c r="H35" s="60">
        <v>0</v>
      </c>
      <c r="I35" s="60">
        <v>84753</v>
      </c>
      <c r="J35" s="60">
        <v>84753</v>
      </c>
      <c r="K35" s="61"/>
    </row>
    <row r="36" spans="1:14" s="40" customFormat="1">
      <c r="A36" s="52"/>
      <c r="B36" s="53"/>
      <c r="C36" s="59" t="s">
        <v>236</v>
      </c>
      <c r="D36" s="373">
        <v>25282</v>
      </c>
      <c r="E36" s="60">
        <v>25282</v>
      </c>
      <c r="F36" s="60">
        <v>25282</v>
      </c>
      <c r="G36" s="60">
        <v>0</v>
      </c>
      <c r="H36" s="60">
        <v>0</v>
      </c>
      <c r="I36" s="60">
        <v>25282</v>
      </c>
      <c r="J36" s="60">
        <v>25282</v>
      </c>
      <c r="K36" s="61"/>
    </row>
    <row r="37" spans="1:14" s="40" customFormat="1">
      <c r="A37" s="52"/>
      <c r="B37" s="53"/>
      <c r="C37" s="59" t="s">
        <v>237</v>
      </c>
      <c r="D37" s="373">
        <v>0</v>
      </c>
      <c r="E37" s="60">
        <v>0</v>
      </c>
      <c r="F37" s="60">
        <v>0</v>
      </c>
      <c r="G37" s="60">
        <v>0</v>
      </c>
      <c r="H37" s="60">
        <v>0</v>
      </c>
      <c r="I37" s="60">
        <v>0</v>
      </c>
      <c r="J37" s="60">
        <v>0</v>
      </c>
      <c r="K37" s="61"/>
    </row>
    <row r="38" spans="1:14" s="40" customFormat="1" ht="25.5">
      <c r="A38" s="52"/>
      <c r="B38" s="53"/>
      <c r="C38" s="44" t="s">
        <v>230</v>
      </c>
      <c r="D38" s="45">
        <v>5000</v>
      </c>
      <c r="E38" s="45">
        <v>5000</v>
      </c>
      <c r="F38" s="46">
        <v>5000</v>
      </c>
      <c r="G38" s="45">
        <v>0</v>
      </c>
      <c r="H38" s="45">
        <v>0</v>
      </c>
      <c r="I38" s="46">
        <v>5000</v>
      </c>
      <c r="J38" s="46">
        <v>5000</v>
      </c>
      <c r="K38" s="61"/>
    </row>
    <row r="39" spans="1:14" s="48" customFormat="1" ht="25.5">
      <c r="A39" s="52"/>
      <c r="B39" s="53"/>
      <c r="C39" s="44" t="s">
        <v>226</v>
      </c>
      <c r="D39" s="45">
        <v>3884965</v>
      </c>
      <c r="E39" s="45">
        <f>4014554.38-E30-E26</f>
        <v>3791376.56</v>
      </c>
      <c r="F39" s="45">
        <f>675000+1038306+1605000</f>
        <v>3318306</v>
      </c>
      <c r="G39" s="45">
        <v>0</v>
      </c>
      <c r="H39" s="45">
        <v>0</v>
      </c>
      <c r="I39" s="46">
        <f>675000+1650000+1754000</f>
        <v>4079000</v>
      </c>
      <c r="J39" s="46">
        <v>3884965</v>
      </c>
      <c r="K39" s="58"/>
    </row>
    <row r="40" spans="1:14" s="40" customFormat="1">
      <c r="A40" s="51"/>
      <c r="B40" s="37" t="s">
        <v>679</v>
      </c>
      <c r="C40" s="38" t="s">
        <v>705</v>
      </c>
      <c r="D40" s="39">
        <v>0</v>
      </c>
      <c r="E40" s="39">
        <f t="shared" ref="E40:I41" si="10">E41</f>
        <v>22140</v>
      </c>
      <c r="F40" s="39">
        <f t="shared" si="10"/>
        <v>0</v>
      </c>
      <c r="G40" s="39">
        <f t="shared" si="10"/>
        <v>0</v>
      </c>
      <c r="H40" s="39">
        <f t="shared" si="10"/>
        <v>0</v>
      </c>
      <c r="I40" s="39">
        <f t="shared" si="10"/>
        <v>0</v>
      </c>
      <c r="J40" s="39">
        <f>J41</f>
        <v>0</v>
      </c>
      <c r="K40" s="61"/>
    </row>
    <row r="41" spans="1:14" s="40" customFormat="1">
      <c r="A41" s="52"/>
      <c r="B41" s="53"/>
      <c r="C41" s="42" t="s">
        <v>234</v>
      </c>
      <c r="D41" s="43">
        <v>0</v>
      </c>
      <c r="E41" s="43">
        <f t="shared" si="10"/>
        <v>22140</v>
      </c>
      <c r="F41" s="43">
        <f t="shared" si="10"/>
        <v>0</v>
      </c>
      <c r="G41" s="43">
        <f t="shared" si="10"/>
        <v>0</v>
      </c>
      <c r="H41" s="43">
        <f t="shared" si="10"/>
        <v>0</v>
      </c>
      <c r="I41" s="43">
        <f t="shared" si="10"/>
        <v>0</v>
      </c>
      <c r="J41" s="43">
        <f>J42</f>
        <v>0</v>
      </c>
      <c r="K41" s="61"/>
    </row>
    <row r="42" spans="1:14" s="48" customFormat="1" ht="25.5">
      <c r="A42" s="52"/>
      <c r="B42" s="53"/>
      <c r="C42" s="44" t="s">
        <v>226</v>
      </c>
      <c r="D42" s="45">
        <v>0</v>
      </c>
      <c r="E42" s="45">
        <v>22140</v>
      </c>
      <c r="F42" s="45">
        <v>0</v>
      </c>
      <c r="G42" s="45">
        <v>0</v>
      </c>
      <c r="H42" s="45">
        <v>0</v>
      </c>
      <c r="I42" s="46">
        <v>0</v>
      </c>
      <c r="J42" s="46">
        <v>0</v>
      </c>
      <c r="K42" s="58"/>
    </row>
    <row r="43" spans="1:14" s="40" customFormat="1" ht="25.5">
      <c r="A43" s="51"/>
      <c r="B43" s="37" t="s">
        <v>238</v>
      </c>
      <c r="C43" s="38" t="s">
        <v>239</v>
      </c>
      <c r="D43" s="39">
        <v>4000</v>
      </c>
      <c r="E43" s="39">
        <f t="shared" ref="E43:I44" si="11">E44</f>
        <v>4000</v>
      </c>
      <c r="F43" s="39">
        <f t="shared" si="11"/>
        <v>4000</v>
      </c>
      <c r="G43" s="39">
        <f t="shared" si="11"/>
        <v>0</v>
      </c>
      <c r="H43" s="39">
        <f t="shared" si="11"/>
        <v>0</v>
      </c>
      <c r="I43" s="39">
        <f t="shared" si="11"/>
        <v>4000</v>
      </c>
      <c r="J43" s="39">
        <f>J44</f>
        <v>4000</v>
      </c>
      <c r="K43" s="61"/>
    </row>
    <row r="44" spans="1:14" s="40" customFormat="1">
      <c r="A44" s="52"/>
      <c r="B44" s="53"/>
      <c r="C44" s="42" t="s">
        <v>234</v>
      </c>
      <c r="D44" s="43">
        <v>4000</v>
      </c>
      <c r="E44" s="43">
        <f t="shared" si="11"/>
        <v>4000</v>
      </c>
      <c r="F44" s="43">
        <f t="shared" si="11"/>
        <v>4000</v>
      </c>
      <c r="G44" s="43">
        <f t="shared" si="11"/>
        <v>0</v>
      </c>
      <c r="H44" s="43">
        <f t="shared" si="11"/>
        <v>0</v>
      </c>
      <c r="I44" s="43">
        <f t="shared" si="11"/>
        <v>4000</v>
      </c>
      <c r="J44" s="43">
        <f>J45</f>
        <v>4000</v>
      </c>
      <c r="K44" s="61"/>
    </row>
    <row r="45" spans="1:14" s="48" customFormat="1" ht="25.5">
      <c r="A45" s="52"/>
      <c r="B45" s="53"/>
      <c r="C45" s="44" t="s">
        <v>226</v>
      </c>
      <c r="D45" s="45">
        <v>4000</v>
      </c>
      <c r="E45" s="45">
        <v>4000</v>
      </c>
      <c r="F45" s="45">
        <v>4000</v>
      </c>
      <c r="G45" s="45">
        <v>0</v>
      </c>
      <c r="H45" s="45">
        <v>0</v>
      </c>
      <c r="I45" s="46">
        <v>4000</v>
      </c>
      <c r="J45" s="46">
        <v>4000</v>
      </c>
      <c r="K45" s="58"/>
    </row>
    <row r="46" spans="1:14" s="18" customFormat="1" ht="12.75">
      <c r="A46" s="33">
        <v>700</v>
      </c>
      <c r="B46" s="34"/>
      <c r="C46" s="35" t="s">
        <v>29</v>
      </c>
      <c r="D46" s="36">
        <v>1629915.87</v>
      </c>
      <c r="E46" s="36">
        <f t="shared" ref="E46:J46" si="12">E47+E60</f>
        <v>1616531.87</v>
      </c>
      <c r="F46" s="36">
        <f t="shared" si="12"/>
        <v>1437761.12</v>
      </c>
      <c r="G46" s="36">
        <f t="shared" si="12"/>
        <v>0</v>
      </c>
      <c r="H46" s="36">
        <f t="shared" si="12"/>
        <v>0</v>
      </c>
      <c r="I46" s="36">
        <f t="shared" si="12"/>
        <v>1949474.1</v>
      </c>
      <c r="J46" s="36">
        <f t="shared" si="12"/>
        <v>1553056</v>
      </c>
      <c r="K46" s="61"/>
    </row>
    <row r="47" spans="1:14" s="40" customFormat="1" ht="25.5">
      <c r="A47" s="628"/>
      <c r="B47" s="37">
        <v>70005</v>
      </c>
      <c r="C47" s="38" t="s">
        <v>30</v>
      </c>
      <c r="D47" s="39">
        <v>932546.59</v>
      </c>
      <c r="E47" s="39">
        <f>E52+E55+E48+E58</f>
        <v>943402.59</v>
      </c>
      <c r="F47" s="39">
        <f t="shared" ref="F47:J47" si="13">F52+F55+F48</f>
        <v>859929.12</v>
      </c>
      <c r="G47" s="39">
        <f t="shared" si="13"/>
        <v>0</v>
      </c>
      <c r="H47" s="39">
        <f t="shared" si="13"/>
        <v>0</v>
      </c>
      <c r="I47" s="39">
        <f t="shared" si="13"/>
        <v>1117630.7</v>
      </c>
      <c r="J47" s="39">
        <f t="shared" si="13"/>
        <v>929817</v>
      </c>
      <c r="K47" s="61"/>
      <c r="L47" s="61"/>
      <c r="N47" s="61"/>
    </row>
    <row r="48" spans="1:14" s="40" customFormat="1" ht="19.149999999999999" customHeight="1">
      <c r="A48" s="629"/>
      <c r="B48" s="53"/>
      <c r="C48" s="42" t="s">
        <v>232</v>
      </c>
      <c r="D48" s="43">
        <v>746985.59</v>
      </c>
      <c r="E48" s="43">
        <f t="shared" ref="E48:J48" si="14">E49+E50+E51</f>
        <v>761912.12</v>
      </c>
      <c r="F48" s="43">
        <f t="shared" si="14"/>
        <v>761912.12</v>
      </c>
      <c r="G48" s="43">
        <f t="shared" si="14"/>
        <v>0</v>
      </c>
      <c r="H48" s="43">
        <f t="shared" si="14"/>
        <v>0</v>
      </c>
      <c r="I48" s="43">
        <f t="shared" si="14"/>
        <v>919619.7</v>
      </c>
      <c r="J48" s="43">
        <f t="shared" si="14"/>
        <v>750806</v>
      </c>
      <c r="K48" s="61"/>
    </row>
    <row r="49" spans="1:14" s="40" customFormat="1" ht="16.5" customHeight="1">
      <c r="A49" s="629"/>
      <c r="B49" s="53"/>
      <c r="C49" s="56" t="s">
        <v>230</v>
      </c>
      <c r="D49" s="45">
        <v>723206.32</v>
      </c>
      <c r="E49" s="57">
        <v>723206.32</v>
      </c>
      <c r="F49" s="57">
        <f>E49</f>
        <v>723206.32</v>
      </c>
      <c r="G49" s="57">
        <v>0</v>
      </c>
      <c r="H49" s="57">
        <v>0</v>
      </c>
      <c r="I49" s="57">
        <v>888425</v>
      </c>
      <c r="J49" s="57">
        <v>719611</v>
      </c>
      <c r="K49" s="61"/>
      <c r="L49" s="61"/>
    </row>
    <row r="50" spans="1:14" s="40" customFormat="1" ht="12.75">
      <c r="A50" s="629"/>
      <c r="B50" s="53"/>
      <c r="C50" s="54" t="s">
        <v>227</v>
      </c>
      <c r="D50" s="45">
        <v>1500</v>
      </c>
      <c r="E50" s="57">
        <v>1500</v>
      </c>
      <c r="F50" s="57">
        <v>1500</v>
      </c>
      <c r="G50" s="57">
        <v>0</v>
      </c>
      <c r="H50" s="57">
        <v>0</v>
      </c>
      <c r="I50" s="57">
        <v>2500</v>
      </c>
      <c r="J50" s="57">
        <v>2500</v>
      </c>
      <c r="K50" s="61"/>
      <c r="L50" s="61"/>
    </row>
    <row r="51" spans="1:14" s="40" customFormat="1" ht="25.5">
      <c r="A51" s="629"/>
      <c r="B51" s="53"/>
      <c r="C51" s="54" t="s">
        <v>226</v>
      </c>
      <c r="D51" s="45">
        <v>22279.27</v>
      </c>
      <c r="E51" s="57">
        <f>761912.12-E49-E50</f>
        <v>37205.800000000047</v>
      </c>
      <c r="F51" s="57">
        <v>37205.800000000003</v>
      </c>
      <c r="G51" s="57">
        <v>0</v>
      </c>
      <c r="H51" s="57">
        <v>0</v>
      </c>
      <c r="I51" s="57">
        <v>28694.7</v>
      </c>
      <c r="J51" s="57">
        <v>28695</v>
      </c>
      <c r="K51" s="61"/>
    </row>
    <row r="52" spans="1:14" s="40" customFormat="1" ht="12.75">
      <c r="A52" s="629"/>
      <c r="B52" s="632"/>
      <c r="C52" s="42" t="s">
        <v>233</v>
      </c>
      <c r="D52" s="43">
        <v>60211</v>
      </c>
      <c r="E52" s="43">
        <f t="shared" ref="E52:J52" si="15">E53+E54</f>
        <v>98017</v>
      </c>
      <c r="F52" s="43">
        <f t="shared" si="15"/>
        <v>98017</v>
      </c>
      <c r="G52" s="43">
        <f t="shared" si="15"/>
        <v>0</v>
      </c>
      <c r="H52" s="43">
        <f t="shared" si="15"/>
        <v>0</v>
      </c>
      <c r="I52" s="43">
        <f t="shared" si="15"/>
        <v>68011</v>
      </c>
      <c r="J52" s="43">
        <f t="shared" si="15"/>
        <v>49011</v>
      </c>
      <c r="K52" s="61"/>
    </row>
    <row r="53" spans="1:14" s="40" customFormat="1" ht="25.5">
      <c r="A53" s="629"/>
      <c r="B53" s="632"/>
      <c r="C53" s="44" t="s">
        <v>230</v>
      </c>
      <c r="D53" s="45">
        <v>0</v>
      </c>
      <c r="E53" s="45">
        <v>300</v>
      </c>
      <c r="F53" s="46">
        <f>E53</f>
        <v>300</v>
      </c>
      <c r="G53" s="46">
        <v>0</v>
      </c>
      <c r="H53" s="46">
        <v>0</v>
      </c>
      <c r="I53" s="46">
        <v>0</v>
      </c>
      <c r="J53" s="46">
        <v>0</v>
      </c>
      <c r="K53" s="61"/>
    </row>
    <row r="54" spans="1:14" s="48" customFormat="1" ht="25.5">
      <c r="A54" s="629"/>
      <c r="B54" s="632"/>
      <c r="C54" s="44" t="s">
        <v>226</v>
      </c>
      <c r="D54" s="45">
        <v>60211</v>
      </c>
      <c r="E54" s="45">
        <f>101551-3534-E53</f>
        <v>97717</v>
      </c>
      <c r="F54" s="46">
        <f>E54</f>
        <v>97717</v>
      </c>
      <c r="G54" s="46">
        <v>0</v>
      </c>
      <c r="H54" s="46">
        <v>0</v>
      </c>
      <c r="I54" s="46">
        <v>68011</v>
      </c>
      <c r="J54" s="46">
        <v>49011</v>
      </c>
      <c r="K54" s="58"/>
      <c r="N54" s="58"/>
    </row>
    <row r="55" spans="1:14" s="48" customFormat="1" ht="12.75">
      <c r="A55" s="629"/>
      <c r="B55" s="53"/>
      <c r="C55" s="42" t="s">
        <v>231</v>
      </c>
      <c r="D55" s="43">
        <v>125350</v>
      </c>
      <c r="E55" s="43">
        <f t="shared" ref="E55:J55" si="16">E56+E57</f>
        <v>14423.47</v>
      </c>
      <c r="F55" s="43">
        <f t="shared" si="16"/>
        <v>0</v>
      </c>
      <c r="G55" s="43">
        <v>0</v>
      </c>
      <c r="H55" s="43">
        <f t="shared" si="16"/>
        <v>0</v>
      </c>
      <c r="I55" s="43">
        <f t="shared" si="16"/>
        <v>130000</v>
      </c>
      <c r="J55" s="43">
        <f t="shared" si="16"/>
        <v>130000</v>
      </c>
      <c r="K55" s="58"/>
    </row>
    <row r="56" spans="1:14" s="40" customFormat="1" ht="25.5">
      <c r="A56" s="629"/>
      <c r="B56" s="53"/>
      <c r="C56" s="44" t="s">
        <v>230</v>
      </c>
      <c r="D56" s="45">
        <v>0</v>
      </c>
      <c r="E56" s="45">
        <v>0</v>
      </c>
      <c r="F56" s="46"/>
      <c r="G56" s="46"/>
      <c r="H56" s="46"/>
      <c r="I56" s="46">
        <v>0</v>
      </c>
      <c r="J56" s="46">
        <v>0</v>
      </c>
      <c r="K56" s="61"/>
    </row>
    <row r="57" spans="1:14" s="48" customFormat="1" ht="25.5">
      <c r="A57" s="629"/>
      <c r="B57" s="53"/>
      <c r="C57" s="44" t="s">
        <v>226</v>
      </c>
      <c r="D57" s="45">
        <v>125350</v>
      </c>
      <c r="E57" s="45">
        <v>14423.47</v>
      </c>
      <c r="F57" s="46"/>
      <c r="G57" s="46"/>
      <c r="H57" s="46"/>
      <c r="I57" s="46">
        <v>130000</v>
      </c>
      <c r="J57" s="46">
        <v>130000</v>
      </c>
      <c r="K57" s="58"/>
    </row>
    <row r="58" spans="1:14" s="48" customFormat="1" ht="12.75">
      <c r="A58" s="629"/>
      <c r="B58" s="53"/>
      <c r="C58" s="42" t="s">
        <v>234</v>
      </c>
      <c r="D58" s="43">
        <f>D59</f>
        <v>0</v>
      </c>
      <c r="E58" s="43">
        <f t="shared" ref="E58:I58" si="17">E59</f>
        <v>69050</v>
      </c>
      <c r="F58" s="43">
        <f t="shared" si="17"/>
        <v>69050</v>
      </c>
      <c r="G58" s="43">
        <f t="shared" si="17"/>
        <v>0</v>
      </c>
      <c r="H58" s="43">
        <f t="shared" si="17"/>
        <v>0</v>
      </c>
      <c r="I58" s="43">
        <f t="shared" si="17"/>
        <v>0</v>
      </c>
      <c r="J58" s="43">
        <f>J59</f>
        <v>0</v>
      </c>
      <c r="K58" s="58"/>
    </row>
    <row r="59" spans="1:14" s="48" customFormat="1" ht="25.5">
      <c r="A59" s="629"/>
      <c r="B59" s="53"/>
      <c r="C59" s="44" t="s">
        <v>226</v>
      </c>
      <c r="D59" s="45">
        <v>0</v>
      </c>
      <c r="E59" s="45">
        <v>69050</v>
      </c>
      <c r="F59" s="45">
        <v>69050</v>
      </c>
      <c r="G59" s="45">
        <v>0</v>
      </c>
      <c r="H59" s="45">
        <v>0</v>
      </c>
      <c r="I59" s="46">
        <v>0</v>
      </c>
      <c r="J59" s="46">
        <v>0</v>
      </c>
      <c r="K59" s="58"/>
    </row>
    <row r="60" spans="1:14" s="40" customFormat="1" ht="12.75">
      <c r="A60" s="629"/>
      <c r="B60" s="37">
        <v>70095</v>
      </c>
      <c r="C60" s="38" t="s">
        <v>45</v>
      </c>
      <c r="D60" s="39">
        <v>697369.28</v>
      </c>
      <c r="E60" s="39">
        <f t="shared" ref="E60:J60" si="18">E61+E65+E68+E71</f>
        <v>673129.28</v>
      </c>
      <c r="F60" s="39">
        <f t="shared" si="18"/>
        <v>577832</v>
      </c>
      <c r="G60" s="39">
        <f t="shared" si="18"/>
        <v>0</v>
      </c>
      <c r="H60" s="39">
        <f t="shared" si="18"/>
        <v>0</v>
      </c>
      <c r="I60" s="39">
        <f t="shared" si="18"/>
        <v>831843.4</v>
      </c>
      <c r="J60" s="39">
        <f t="shared" si="18"/>
        <v>623239</v>
      </c>
      <c r="K60" s="61"/>
    </row>
    <row r="61" spans="1:14" s="40" customFormat="1" ht="16.899999999999999" customHeight="1">
      <c r="A61" s="629"/>
      <c r="B61" s="633"/>
      <c r="C61" s="42" t="s">
        <v>232</v>
      </c>
      <c r="D61" s="43">
        <v>165761.28</v>
      </c>
      <c r="E61" s="43">
        <f t="shared" ref="E61:J61" si="19">E62+E63+E64</f>
        <v>165761.28</v>
      </c>
      <c r="F61" s="43">
        <f t="shared" si="19"/>
        <v>134522</v>
      </c>
      <c r="G61" s="43">
        <f t="shared" si="19"/>
        <v>0</v>
      </c>
      <c r="H61" s="43">
        <f t="shared" si="19"/>
        <v>0</v>
      </c>
      <c r="I61" s="43">
        <f t="shared" si="19"/>
        <v>119633.4</v>
      </c>
      <c r="J61" s="43">
        <f t="shared" si="19"/>
        <v>111029</v>
      </c>
      <c r="K61" s="61"/>
      <c r="M61" s="63"/>
    </row>
    <row r="62" spans="1:14" s="40" customFormat="1" ht="25.5">
      <c r="A62" s="629"/>
      <c r="B62" s="632"/>
      <c r="C62" s="56" t="s">
        <v>230</v>
      </c>
      <c r="D62" s="45">
        <v>158159</v>
      </c>
      <c r="E62" s="57">
        <v>158159</v>
      </c>
      <c r="F62" s="57">
        <v>128354</v>
      </c>
      <c r="G62" s="57">
        <v>0</v>
      </c>
      <c r="H62" s="57">
        <v>0</v>
      </c>
      <c r="I62" s="57">
        <v>114721</v>
      </c>
      <c r="J62" s="57">
        <v>106117</v>
      </c>
      <c r="K62" s="61"/>
    </row>
    <row r="63" spans="1:14" s="40" customFormat="1" ht="12.75">
      <c r="A63" s="629"/>
      <c r="B63" s="632"/>
      <c r="C63" s="54" t="s">
        <v>227</v>
      </c>
      <c r="D63" s="45">
        <v>2768</v>
      </c>
      <c r="E63" s="57">
        <v>2768</v>
      </c>
      <c r="F63" s="57">
        <f>E63</f>
        <v>2768</v>
      </c>
      <c r="G63" s="57">
        <v>0</v>
      </c>
      <c r="H63" s="57">
        <v>0</v>
      </c>
      <c r="I63" s="57">
        <v>2004</v>
      </c>
      <c r="J63" s="57">
        <v>2004</v>
      </c>
      <c r="K63" s="61"/>
    </row>
    <row r="64" spans="1:14" s="40" customFormat="1" ht="25.5">
      <c r="A64" s="629"/>
      <c r="B64" s="632"/>
      <c r="C64" s="54" t="s">
        <v>226</v>
      </c>
      <c r="D64" s="45">
        <v>4834.28</v>
      </c>
      <c r="E64" s="57">
        <f>170761.28-E62-E63-5000</f>
        <v>4834.2799999999988</v>
      </c>
      <c r="F64" s="57">
        <v>3400</v>
      </c>
      <c r="G64" s="57">
        <v>0</v>
      </c>
      <c r="H64" s="57">
        <v>0</v>
      </c>
      <c r="I64" s="57">
        <v>2908.4</v>
      </c>
      <c r="J64" s="57">
        <v>2908</v>
      </c>
      <c r="K64" s="61"/>
    </row>
    <row r="65" spans="1:12" s="48" customFormat="1" ht="12.75">
      <c r="A65" s="629"/>
      <c r="B65" s="632"/>
      <c r="C65" s="42" t="s">
        <v>231</v>
      </c>
      <c r="D65" s="64">
        <v>64058</v>
      </c>
      <c r="E65" s="64">
        <f t="shared" ref="E65:J65" si="20">E66+E67</f>
        <v>64058</v>
      </c>
      <c r="F65" s="64">
        <f t="shared" si="20"/>
        <v>0</v>
      </c>
      <c r="G65" s="64">
        <f t="shared" si="20"/>
        <v>0</v>
      </c>
      <c r="H65" s="64">
        <f t="shared" si="20"/>
        <v>0</v>
      </c>
      <c r="I65" s="64">
        <f t="shared" si="20"/>
        <v>70000</v>
      </c>
      <c r="J65" s="64">
        <f t="shared" si="20"/>
        <v>70000</v>
      </c>
      <c r="K65" s="58"/>
    </row>
    <row r="66" spans="1:12" s="48" customFormat="1" ht="25.5">
      <c r="A66" s="629"/>
      <c r="B66" s="632"/>
      <c r="C66" s="44" t="s">
        <v>230</v>
      </c>
      <c r="D66" s="65">
        <v>0</v>
      </c>
      <c r="E66" s="65">
        <v>0</v>
      </c>
      <c r="F66" s="55"/>
      <c r="G66" s="55"/>
      <c r="H66" s="55"/>
      <c r="I66" s="55"/>
      <c r="J66" s="55">
        <v>0</v>
      </c>
      <c r="K66" s="58"/>
    </row>
    <row r="67" spans="1:12" s="48" customFormat="1" ht="25.5">
      <c r="A67" s="629"/>
      <c r="B67" s="632"/>
      <c r="C67" s="44" t="s">
        <v>226</v>
      </c>
      <c r="D67" s="65">
        <v>64058</v>
      </c>
      <c r="E67" s="65">
        <v>64058</v>
      </c>
      <c r="F67" s="55"/>
      <c r="G67" s="55"/>
      <c r="H67" s="55"/>
      <c r="I67" s="55">
        <v>70000</v>
      </c>
      <c r="J67" s="55">
        <v>70000</v>
      </c>
      <c r="K67" s="58"/>
    </row>
    <row r="68" spans="1:12" s="40" customFormat="1">
      <c r="A68" s="41"/>
      <c r="B68" s="632"/>
      <c r="C68" s="42" t="s">
        <v>233</v>
      </c>
      <c r="D68" s="43">
        <v>467550</v>
      </c>
      <c r="E68" s="43">
        <f t="shared" ref="E68:J68" si="21">E69+E70</f>
        <v>443310</v>
      </c>
      <c r="F68" s="43">
        <f t="shared" si="21"/>
        <v>443310</v>
      </c>
      <c r="G68" s="43">
        <f t="shared" si="21"/>
        <v>0</v>
      </c>
      <c r="H68" s="43">
        <f t="shared" si="21"/>
        <v>0</v>
      </c>
      <c r="I68" s="43">
        <f t="shared" si="21"/>
        <v>642210</v>
      </c>
      <c r="J68" s="43">
        <f t="shared" si="21"/>
        <v>442210</v>
      </c>
      <c r="K68" s="61"/>
    </row>
    <row r="69" spans="1:12" s="40" customFormat="1" ht="25.5">
      <c r="A69" s="41"/>
      <c r="B69" s="632"/>
      <c r="C69" s="44" t="s">
        <v>230</v>
      </c>
      <c r="D69" s="45">
        <v>0</v>
      </c>
      <c r="E69" s="45">
        <v>0</v>
      </c>
      <c r="F69" s="46">
        <v>0</v>
      </c>
      <c r="G69" s="46">
        <v>0</v>
      </c>
      <c r="H69" s="46">
        <v>0</v>
      </c>
      <c r="I69" s="46">
        <v>0</v>
      </c>
      <c r="J69" s="46">
        <v>0</v>
      </c>
      <c r="K69" s="61"/>
    </row>
    <row r="70" spans="1:12" s="48" customFormat="1" ht="25.5">
      <c r="A70" s="41"/>
      <c r="B70" s="632"/>
      <c r="C70" s="44" t="s">
        <v>226</v>
      </c>
      <c r="D70" s="45">
        <v>467550</v>
      </c>
      <c r="E70" s="45">
        <v>443310</v>
      </c>
      <c r="F70" s="46">
        <f>E70</f>
        <v>443310</v>
      </c>
      <c r="G70" s="46">
        <v>0</v>
      </c>
      <c r="H70" s="46">
        <v>0</v>
      </c>
      <c r="I70" s="46">
        <v>642210</v>
      </c>
      <c r="J70" s="46">
        <v>442210</v>
      </c>
      <c r="K70" s="58"/>
    </row>
    <row r="71" spans="1:12" s="48" customFormat="1">
      <c r="A71" s="41"/>
      <c r="B71" s="53"/>
      <c r="C71" s="42" t="s">
        <v>240</v>
      </c>
      <c r="D71" s="43">
        <v>0</v>
      </c>
      <c r="E71" s="43">
        <f t="shared" ref="E71:J71" si="22">E72+E73</f>
        <v>0</v>
      </c>
      <c r="F71" s="43">
        <f t="shared" si="22"/>
        <v>0</v>
      </c>
      <c r="G71" s="43">
        <f t="shared" si="22"/>
        <v>0</v>
      </c>
      <c r="H71" s="43">
        <f t="shared" si="22"/>
        <v>0</v>
      </c>
      <c r="I71" s="43">
        <f t="shared" si="22"/>
        <v>0</v>
      </c>
      <c r="J71" s="43">
        <f t="shared" si="22"/>
        <v>0</v>
      </c>
      <c r="K71" s="58"/>
    </row>
    <row r="72" spans="1:12" s="48" customFormat="1" ht="25.5">
      <c r="A72" s="41"/>
      <c r="B72" s="53"/>
      <c r="C72" s="44" t="s">
        <v>230</v>
      </c>
      <c r="D72" s="45">
        <v>0</v>
      </c>
      <c r="E72" s="45">
        <v>0</v>
      </c>
      <c r="F72" s="46"/>
      <c r="G72" s="46"/>
      <c r="H72" s="46"/>
      <c r="I72" s="46"/>
      <c r="J72" s="46"/>
      <c r="K72" s="58"/>
    </row>
    <row r="73" spans="1:12" s="48" customFormat="1" ht="25.5">
      <c r="A73" s="41"/>
      <c r="B73" s="53"/>
      <c r="C73" s="44" t="s">
        <v>226</v>
      </c>
      <c r="D73" s="45">
        <v>0</v>
      </c>
      <c r="E73" s="45">
        <v>0</v>
      </c>
      <c r="F73" s="46"/>
      <c r="G73" s="46"/>
      <c r="H73" s="46"/>
      <c r="I73" s="46"/>
      <c r="J73" s="46"/>
      <c r="K73" s="58"/>
    </row>
    <row r="74" spans="1:12" s="18" customFormat="1" ht="12.75">
      <c r="A74" s="33">
        <v>710</v>
      </c>
      <c r="B74" s="34"/>
      <c r="C74" s="66" t="s">
        <v>49</v>
      </c>
      <c r="D74" s="36">
        <v>1928595.75</v>
      </c>
      <c r="E74" s="36">
        <f t="shared" ref="E74:J74" si="23">E75+E83</f>
        <v>1977220.75</v>
      </c>
      <c r="F74" s="36">
        <f t="shared" si="23"/>
        <v>2189339.87</v>
      </c>
      <c r="G74" s="36">
        <f t="shared" si="23"/>
        <v>11857.18</v>
      </c>
      <c r="H74" s="36">
        <f t="shared" si="23"/>
        <v>0</v>
      </c>
      <c r="I74" s="36">
        <f t="shared" si="23"/>
        <v>2725500.22</v>
      </c>
      <c r="J74" s="36">
        <f t="shared" si="23"/>
        <v>2425500</v>
      </c>
      <c r="K74" s="28"/>
    </row>
    <row r="75" spans="1:12" s="40" customFormat="1">
      <c r="A75" s="67"/>
      <c r="B75" s="37">
        <v>71012</v>
      </c>
      <c r="C75" s="38" t="s">
        <v>50</v>
      </c>
      <c r="D75" s="39">
        <v>1922595.75</v>
      </c>
      <c r="E75" s="39">
        <f t="shared" ref="E75:J75" si="24">E76+E80</f>
        <v>1907913.75</v>
      </c>
      <c r="F75" s="39">
        <f t="shared" si="24"/>
        <v>2167657.87</v>
      </c>
      <c r="G75" s="39">
        <f t="shared" si="24"/>
        <v>11857.18</v>
      </c>
      <c r="H75" s="39">
        <f t="shared" si="24"/>
        <v>0</v>
      </c>
      <c r="I75" s="39">
        <f t="shared" si="24"/>
        <v>2576625.2200000002</v>
      </c>
      <c r="J75" s="39">
        <f t="shared" si="24"/>
        <v>2276625</v>
      </c>
      <c r="K75" s="61"/>
    </row>
    <row r="76" spans="1:12" s="40" customFormat="1" ht="14.45" customHeight="1">
      <c r="A76" s="68"/>
      <c r="B76" s="633"/>
      <c r="C76" s="42" t="s">
        <v>232</v>
      </c>
      <c r="D76" s="43">
        <v>1696318.4</v>
      </c>
      <c r="E76" s="43">
        <f t="shared" ref="E76:J76" si="25">E77+E78+E79</f>
        <v>1721318.3999999999</v>
      </c>
      <c r="F76" s="43">
        <f t="shared" si="25"/>
        <v>2167657.87</v>
      </c>
      <c r="G76" s="43">
        <f t="shared" si="25"/>
        <v>11857.18</v>
      </c>
      <c r="H76" s="43">
        <f t="shared" si="25"/>
        <v>0</v>
      </c>
      <c r="I76" s="43">
        <f>I77+I78+I79</f>
        <v>2376625.2200000002</v>
      </c>
      <c r="J76" s="43">
        <f t="shared" si="25"/>
        <v>2076625</v>
      </c>
      <c r="K76" s="61"/>
      <c r="L76" s="61"/>
    </row>
    <row r="77" spans="1:12" s="40" customFormat="1" ht="18" customHeight="1">
      <c r="A77" s="68"/>
      <c r="B77" s="632"/>
      <c r="C77" s="56" t="s">
        <v>230</v>
      </c>
      <c r="D77" s="45">
        <v>1579252</v>
      </c>
      <c r="E77" s="57">
        <v>1574947</v>
      </c>
      <c r="F77" s="57">
        <v>2027167.87</v>
      </c>
      <c r="G77" s="57">
        <v>11857.18</v>
      </c>
      <c r="H77" s="57">
        <v>0</v>
      </c>
      <c r="I77" s="57">
        <f>2112944</f>
        <v>2112944</v>
      </c>
      <c r="J77" s="57">
        <v>1945944</v>
      </c>
      <c r="K77" s="61"/>
      <c r="L77" s="61"/>
    </row>
    <row r="78" spans="1:12" s="48" customFormat="1" ht="12.75">
      <c r="A78" s="69"/>
      <c r="B78" s="632"/>
      <c r="C78" s="54" t="s">
        <v>227</v>
      </c>
      <c r="D78" s="45">
        <v>1500</v>
      </c>
      <c r="E78" s="57">
        <v>2500</v>
      </c>
      <c r="F78" s="57">
        <v>2500</v>
      </c>
      <c r="G78" s="57">
        <v>0</v>
      </c>
      <c r="H78" s="57">
        <v>0</v>
      </c>
      <c r="I78" s="57">
        <v>5500</v>
      </c>
      <c r="J78" s="57">
        <v>2500</v>
      </c>
      <c r="K78" s="58"/>
    </row>
    <row r="79" spans="1:12" s="48" customFormat="1" ht="25.5">
      <c r="A79" s="69"/>
      <c r="B79" s="632"/>
      <c r="C79" s="54" t="s">
        <v>226</v>
      </c>
      <c r="D79" s="65">
        <v>115566.39999999999</v>
      </c>
      <c r="E79" s="70">
        <f>1721318.4-E77-E78</f>
        <v>143871.39999999991</v>
      </c>
      <c r="F79" s="57">
        <v>137990</v>
      </c>
      <c r="G79" s="57">
        <v>0</v>
      </c>
      <c r="H79" s="57">
        <v>0</v>
      </c>
      <c r="I79" s="57">
        <v>258181.22</v>
      </c>
      <c r="J79" s="57">
        <v>128181</v>
      </c>
      <c r="K79" s="58"/>
    </row>
    <row r="80" spans="1:12" s="48" customFormat="1" ht="12.75">
      <c r="A80" s="69"/>
      <c r="B80" s="53"/>
      <c r="C80" s="42" t="s">
        <v>241</v>
      </c>
      <c r="D80" s="64">
        <v>226277.35</v>
      </c>
      <c r="E80" s="71">
        <f t="shared" ref="E80:J80" si="26">E81+E82</f>
        <v>186595.35</v>
      </c>
      <c r="F80" s="71">
        <f t="shared" si="26"/>
        <v>0</v>
      </c>
      <c r="G80" s="71">
        <f t="shared" si="26"/>
        <v>0</v>
      </c>
      <c r="H80" s="71">
        <f t="shared" si="26"/>
        <v>0</v>
      </c>
      <c r="I80" s="71">
        <f t="shared" si="26"/>
        <v>200000</v>
      </c>
      <c r="J80" s="71">
        <f t="shared" si="26"/>
        <v>200000</v>
      </c>
      <c r="K80" s="58"/>
    </row>
    <row r="81" spans="1:12" s="48" customFormat="1" ht="25.5">
      <c r="A81" s="69"/>
      <c r="B81" s="53"/>
      <c r="C81" s="44" t="s">
        <v>230</v>
      </c>
      <c r="D81" s="65">
        <v>0</v>
      </c>
      <c r="E81" s="55">
        <v>186595.35</v>
      </c>
      <c r="F81" s="55"/>
      <c r="G81" s="55"/>
      <c r="H81" s="55"/>
      <c r="I81" s="55"/>
      <c r="J81" s="55">
        <v>0</v>
      </c>
      <c r="K81" s="58"/>
    </row>
    <row r="82" spans="1:12" s="18" customFormat="1" ht="25.5">
      <c r="A82" s="69"/>
      <c r="B82" s="53"/>
      <c r="C82" s="44" t="s">
        <v>226</v>
      </c>
      <c r="D82" s="65">
        <v>226277.35</v>
      </c>
      <c r="E82" s="55">
        <v>0</v>
      </c>
      <c r="F82" s="55"/>
      <c r="G82" s="55"/>
      <c r="H82" s="55"/>
      <c r="I82" s="55">
        <v>200000</v>
      </c>
      <c r="J82" s="55">
        <v>200000</v>
      </c>
      <c r="K82" s="28"/>
    </row>
    <row r="83" spans="1:12" s="18" customFormat="1" ht="12.75">
      <c r="A83" s="72"/>
      <c r="B83" s="37">
        <v>71095</v>
      </c>
      <c r="C83" s="38" t="s">
        <v>45</v>
      </c>
      <c r="D83" s="39">
        <f>D84+D86</f>
        <v>6000</v>
      </c>
      <c r="E83" s="39">
        <f t="shared" ref="E83:J83" si="27">E84+E86</f>
        <v>69307</v>
      </c>
      <c r="F83" s="39">
        <f t="shared" si="27"/>
        <v>21682</v>
      </c>
      <c r="G83" s="39">
        <f t="shared" si="27"/>
        <v>0</v>
      </c>
      <c r="H83" s="39">
        <f t="shared" si="27"/>
        <v>0</v>
      </c>
      <c r="I83" s="39">
        <f t="shared" si="27"/>
        <v>148875</v>
      </c>
      <c r="J83" s="39">
        <f t="shared" si="27"/>
        <v>148875</v>
      </c>
      <c r="K83" s="28"/>
    </row>
    <row r="84" spans="1:12" s="74" customFormat="1" ht="12.75">
      <c r="A84" s="73"/>
      <c r="B84" s="622"/>
      <c r="C84" s="42" t="s">
        <v>232</v>
      </c>
      <c r="D84" s="43">
        <v>6000</v>
      </c>
      <c r="E84" s="43">
        <f>E85</f>
        <v>21682</v>
      </c>
      <c r="F84" s="43">
        <f t="shared" ref="F84:J84" si="28">F85</f>
        <v>21682</v>
      </c>
      <c r="G84" s="43">
        <f t="shared" si="28"/>
        <v>0</v>
      </c>
      <c r="H84" s="43">
        <f t="shared" si="28"/>
        <v>0</v>
      </c>
      <c r="I84" s="43">
        <f t="shared" si="28"/>
        <v>6000</v>
      </c>
      <c r="J84" s="43">
        <f t="shared" si="28"/>
        <v>6000</v>
      </c>
      <c r="K84" s="259"/>
    </row>
    <row r="85" spans="1:12" s="74" customFormat="1" ht="25.5">
      <c r="A85" s="73"/>
      <c r="B85" s="623"/>
      <c r="C85" s="56" t="s">
        <v>226</v>
      </c>
      <c r="D85" s="45">
        <v>6000</v>
      </c>
      <c r="E85" s="57">
        <v>21682</v>
      </c>
      <c r="F85" s="57">
        <f>E85</f>
        <v>21682</v>
      </c>
      <c r="G85" s="57">
        <v>0</v>
      </c>
      <c r="H85" s="57">
        <v>0</v>
      </c>
      <c r="I85" s="57">
        <v>6000</v>
      </c>
      <c r="J85" s="57">
        <v>6000</v>
      </c>
      <c r="K85" s="259"/>
    </row>
    <row r="86" spans="1:12" s="74" customFormat="1" ht="51">
      <c r="A86" s="73"/>
      <c r="B86" s="383"/>
      <c r="C86" s="42" t="s">
        <v>53</v>
      </c>
      <c r="D86" s="43">
        <f>D87</f>
        <v>0</v>
      </c>
      <c r="E86" s="43">
        <f t="shared" ref="E86:J86" si="29">E87</f>
        <v>47625</v>
      </c>
      <c r="F86" s="43">
        <f t="shared" si="29"/>
        <v>0</v>
      </c>
      <c r="G86" s="43">
        <f t="shared" si="29"/>
        <v>0</v>
      </c>
      <c r="H86" s="43">
        <f t="shared" si="29"/>
        <v>0</v>
      </c>
      <c r="I86" s="43">
        <f t="shared" si="29"/>
        <v>142875</v>
      </c>
      <c r="J86" s="43">
        <f t="shared" si="29"/>
        <v>142875</v>
      </c>
      <c r="K86" s="259"/>
    </row>
    <row r="87" spans="1:12" s="74" customFormat="1" ht="25.5">
      <c r="A87" s="73"/>
      <c r="B87" s="383"/>
      <c r="C87" s="44" t="s">
        <v>278</v>
      </c>
      <c r="D87" s="45">
        <v>0</v>
      </c>
      <c r="E87" s="57">
        <v>47625</v>
      </c>
      <c r="F87" s="57">
        <v>0</v>
      </c>
      <c r="G87" s="57">
        <v>0</v>
      </c>
      <c r="H87" s="57">
        <v>0</v>
      </c>
      <c r="I87" s="57">
        <v>142875</v>
      </c>
      <c r="J87" s="57">
        <v>142875</v>
      </c>
      <c r="K87" s="259"/>
    </row>
    <row r="88" spans="1:12" s="74" customFormat="1" ht="12.75">
      <c r="A88" s="33">
        <v>750</v>
      </c>
      <c r="B88" s="34"/>
      <c r="C88" s="35" t="s">
        <v>55</v>
      </c>
      <c r="D88" s="36">
        <v>14985552.380000001</v>
      </c>
      <c r="E88" s="36">
        <f t="shared" ref="E88:J88" si="30">E89+E96+E104+E120+E127</f>
        <v>15371947.389999999</v>
      </c>
      <c r="F88" s="36">
        <f t="shared" si="30"/>
        <v>14760280.049999999</v>
      </c>
      <c r="G88" s="36">
        <f t="shared" si="30"/>
        <v>0</v>
      </c>
      <c r="H88" s="36">
        <f t="shared" si="30"/>
        <v>0</v>
      </c>
      <c r="I88" s="36">
        <f t="shared" si="30"/>
        <v>16087398.759999998</v>
      </c>
      <c r="J88" s="36">
        <f t="shared" si="30"/>
        <v>16020452.99</v>
      </c>
      <c r="K88" s="259"/>
    </row>
    <row r="89" spans="1:12" s="40" customFormat="1" ht="13.5">
      <c r="A89" s="631"/>
      <c r="B89" s="76">
        <v>75011</v>
      </c>
      <c r="C89" s="77" t="s">
        <v>56</v>
      </c>
      <c r="D89" s="78">
        <v>1074197.1400000001</v>
      </c>
      <c r="E89" s="78">
        <f t="shared" ref="E89:I89" si="31">E90+E94</f>
        <v>1077963.3600000001</v>
      </c>
      <c r="F89" s="78">
        <f t="shared" si="31"/>
        <v>1079017.9300000002</v>
      </c>
      <c r="G89" s="78">
        <f t="shared" si="31"/>
        <v>0</v>
      </c>
      <c r="H89" s="78">
        <f t="shared" si="31"/>
        <v>0</v>
      </c>
      <c r="I89" s="78">
        <f t="shared" si="31"/>
        <v>1001488.4</v>
      </c>
      <c r="J89" s="78">
        <f>J90+J94</f>
        <v>1045753</v>
      </c>
      <c r="K89" s="61"/>
      <c r="L89" s="61"/>
    </row>
    <row r="90" spans="1:12" s="40" customFormat="1" ht="16.899999999999999" customHeight="1">
      <c r="A90" s="631"/>
      <c r="B90" s="633"/>
      <c r="C90" s="42" t="s">
        <v>232</v>
      </c>
      <c r="D90" s="79">
        <v>1074197.1400000001</v>
      </c>
      <c r="E90" s="79">
        <f>E91+E92+E93</f>
        <v>1077963.3600000001</v>
      </c>
      <c r="F90" s="79">
        <f>F91+F92+F93</f>
        <v>1079017.9300000002</v>
      </c>
      <c r="G90" s="79">
        <f>G91+G92+G93</f>
        <v>0</v>
      </c>
      <c r="H90" s="79"/>
      <c r="I90" s="79">
        <f>I91+I92+I93</f>
        <v>1001488.4</v>
      </c>
      <c r="J90" s="79">
        <f>J91+J92+J93</f>
        <v>895753</v>
      </c>
      <c r="K90" s="61"/>
      <c r="L90" s="61"/>
    </row>
    <row r="91" spans="1:12" s="40" customFormat="1" ht="13.5" customHeight="1">
      <c r="A91" s="631"/>
      <c r="B91" s="632"/>
      <c r="C91" s="56" t="s">
        <v>230</v>
      </c>
      <c r="D91" s="374">
        <v>1049612.1600000001</v>
      </c>
      <c r="E91" s="75">
        <f>1077963.36-E92-E93</f>
        <v>1049612.1600000001</v>
      </c>
      <c r="F91" s="80">
        <f>E91</f>
        <v>1049612.1600000001</v>
      </c>
      <c r="G91" s="80">
        <v>0</v>
      </c>
      <c r="H91" s="80">
        <v>0</v>
      </c>
      <c r="I91" s="80">
        <f>973570</f>
        <v>973570</v>
      </c>
      <c r="J91" s="80">
        <v>867910</v>
      </c>
      <c r="K91" s="61"/>
    </row>
    <row r="92" spans="1:12" s="40" customFormat="1" ht="12.75">
      <c r="A92" s="631"/>
      <c r="B92" s="632"/>
      <c r="C92" s="54" t="s">
        <v>227</v>
      </c>
      <c r="D92" s="97">
        <v>1500</v>
      </c>
      <c r="E92" s="80">
        <v>1500</v>
      </c>
      <c r="F92" s="80">
        <v>1500</v>
      </c>
      <c r="G92" s="80">
        <v>0</v>
      </c>
      <c r="H92" s="80">
        <v>0</v>
      </c>
      <c r="I92" s="80">
        <v>2500</v>
      </c>
      <c r="J92" s="80">
        <v>1500</v>
      </c>
      <c r="K92" s="61"/>
    </row>
    <row r="93" spans="1:12" s="40" customFormat="1" ht="25.5">
      <c r="A93" s="631"/>
      <c r="B93" s="632"/>
      <c r="C93" s="54" t="s">
        <v>226</v>
      </c>
      <c r="D93" s="97">
        <v>23084.98</v>
      </c>
      <c r="E93" s="80">
        <f>525+26326.2</f>
        <v>26851.200000000001</v>
      </c>
      <c r="F93" s="80">
        <v>27905.77</v>
      </c>
      <c r="G93" s="80">
        <v>0</v>
      </c>
      <c r="H93" s="80">
        <v>0</v>
      </c>
      <c r="I93" s="80">
        <v>25418.400000000001</v>
      </c>
      <c r="J93" s="80">
        <v>26343</v>
      </c>
      <c r="K93" s="61"/>
    </row>
    <row r="94" spans="1:12" s="40" customFormat="1" ht="12.75">
      <c r="A94" s="631"/>
      <c r="B94" s="632"/>
      <c r="C94" s="42" t="s">
        <v>241</v>
      </c>
      <c r="D94" s="64">
        <v>0</v>
      </c>
      <c r="E94" s="71">
        <f t="shared" ref="E94:J94" si="32">E95</f>
        <v>0</v>
      </c>
      <c r="F94" s="71">
        <f t="shared" si="32"/>
        <v>0</v>
      </c>
      <c r="G94" s="71">
        <f t="shared" si="32"/>
        <v>0</v>
      </c>
      <c r="H94" s="71">
        <f t="shared" si="32"/>
        <v>0</v>
      </c>
      <c r="I94" s="71">
        <f t="shared" si="32"/>
        <v>0</v>
      </c>
      <c r="J94" s="71">
        <f t="shared" si="32"/>
        <v>150000</v>
      </c>
      <c r="K94" s="61"/>
    </row>
    <row r="95" spans="1:12" s="40" customFormat="1" ht="12.75" customHeight="1">
      <c r="A95" s="631"/>
      <c r="B95" s="636"/>
      <c r="C95" s="56" t="s">
        <v>230</v>
      </c>
      <c r="D95" s="97">
        <v>0</v>
      </c>
      <c r="E95" s="80">
        <v>0</v>
      </c>
      <c r="F95" s="80">
        <v>0</v>
      </c>
      <c r="G95" s="80">
        <v>0</v>
      </c>
      <c r="H95" s="80">
        <v>0</v>
      </c>
      <c r="I95" s="80">
        <v>0</v>
      </c>
      <c r="J95" s="80">
        <v>150000</v>
      </c>
      <c r="K95" s="61"/>
    </row>
    <row r="96" spans="1:12" s="40" customFormat="1" ht="12.75">
      <c r="A96" s="631"/>
      <c r="B96" s="82">
        <v>75019</v>
      </c>
      <c r="C96" s="83" t="s">
        <v>242</v>
      </c>
      <c r="D96" s="39">
        <v>724066.62</v>
      </c>
      <c r="E96" s="39">
        <f t="shared" ref="E96:J96" si="33">E97+E102</f>
        <v>724066.62</v>
      </c>
      <c r="F96" s="39">
        <f t="shared" si="33"/>
        <v>727285.81</v>
      </c>
      <c r="G96" s="39">
        <f t="shared" si="33"/>
        <v>0</v>
      </c>
      <c r="H96" s="39">
        <f t="shared" si="33"/>
        <v>0</v>
      </c>
      <c r="I96" s="39">
        <f t="shared" si="33"/>
        <v>719344.48</v>
      </c>
      <c r="J96" s="39">
        <f t="shared" si="33"/>
        <v>733358</v>
      </c>
      <c r="K96" s="61"/>
    </row>
    <row r="97" spans="1:12" s="40" customFormat="1" ht="12.75">
      <c r="A97" s="631"/>
      <c r="B97" s="637"/>
      <c r="C97" s="42" t="s">
        <v>232</v>
      </c>
      <c r="D97" s="43">
        <v>724066.62</v>
      </c>
      <c r="E97" s="43">
        <f t="shared" ref="E97:J97" si="34">E98+E99+E100</f>
        <v>724066.62</v>
      </c>
      <c r="F97" s="43">
        <f t="shared" si="34"/>
        <v>727285.81</v>
      </c>
      <c r="G97" s="43">
        <f t="shared" si="34"/>
        <v>0</v>
      </c>
      <c r="H97" s="43">
        <f t="shared" si="34"/>
        <v>0</v>
      </c>
      <c r="I97" s="43">
        <f t="shared" si="34"/>
        <v>719344.48</v>
      </c>
      <c r="J97" s="43">
        <f t="shared" si="34"/>
        <v>718358</v>
      </c>
      <c r="K97" s="61"/>
    </row>
    <row r="98" spans="1:12" s="40" customFormat="1" ht="16.5" customHeight="1">
      <c r="A98" s="631"/>
      <c r="B98" s="638"/>
      <c r="C98" s="56" t="s">
        <v>230</v>
      </c>
      <c r="D98" s="97">
        <v>131105.48000000001</v>
      </c>
      <c r="E98" s="80">
        <f>D98</f>
        <v>131105.48000000001</v>
      </c>
      <c r="F98" s="80">
        <v>134824.67000000001</v>
      </c>
      <c r="G98" s="80">
        <v>0</v>
      </c>
      <c r="H98" s="80">
        <v>0</v>
      </c>
      <c r="I98" s="80">
        <v>123730.6</v>
      </c>
      <c r="J98" s="80">
        <v>123730</v>
      </c>
      <c r="K98" s="61"/>
    </row>
    <row r="99" spans="1:12" s="40" customFormat="1" ht="12.75">
      <c r="A99" s="631"/>
      <c r="B99" s="638"/>
      <c r="C99" s="54" t="s">
        <v>227</v>
      </c>
      <c r="D99" s="97">
        <v>545344</v>
      </c>
      <c r="E99" s="80">
        <f t="shared" ref="E99:E101" si="35">D99</f>
        <v>545344</v>
      </c>
      <c r="F99" s="80">
        <v>544844</v>
      </c>
      <c r="G99" s="80">
        <v>0</v>
      </c>
      <c r="H99" s="80">
        <v>0</v>
      </c>
      <c r="I99" s="97">
        <v>546005.48</v>
      </c>
      <c r="J99" s="97">
        <v>546005</v>
      </c>
      <c r="K99" s="61"/>
    </row>
    <row r="100" spans="1:12" s="48" customFormat="1" ht="25.5">
      <c r="A100" s="631"/>
      <c r="B100" s="638"/>
      <c r="C100" s="54" t="s">
        <v>243</v>
      </c>
      <c r="D100" s="97">
        <v>47617.14</v>
      </c>
      <c r="E100" s="80">
        <f t="shared" si="35"/>
        <v>47617.14</v>
      </c>
      <c r="F100" s="80">
        <v>47617.14</v>
      </c>
      <c r="G100" s="80">
        <v>0</v>
      </c>
      <c r="H100" s="80">
        <v>0</v>
      </c>
      <c r="I100" s="80">
        <v>49608.4</v>
      </c>
      <c r="J100" s="80">
        <v>48623</v>
      </c>
      <c r="K100" s="58"/>
    </row>
    <row r="101" spans="1:12" s="48" customFormat="1" ht="12.75">
      <c r="A101" s="631"/>
      <c r="B101" s="84"/>
      <c r="C101" s="85" t="s">
        <v>244</v>
      </c>
      <c r="D101" s="97">
        <v>0</v>
      </c>
      <c r="E101" s="80">
        <f t="shared" si="35"/>
        <v>0</v>
      </c>
      <c r="F101" s="80"/>
      <c r="G101" s="80"/>
      <c r="H101" s="80"/>
      <c r="I101" s="80"/>
      <c r="J101" s="80">
        <v>0</v>
      </c>
      <c r="K101" s="58"/>
    </row>
    <row r="102" spans="1:12" s="48" customFormat="1" ht="12.75">
      <c r="A102" s="631"/>
      <c r="B102" s="84"/>
      <c r="C102" s="42" t="s">
        <v>241</v>
      </c>
      <c r="D102" s="64">
        <v>0</v>
      </c>
      <c r="E102" s="71">
        <f t="shared" ref="E102:J102" si="36">E103</f>
        <v>0</v>
      </c>
      <c r="F102" s="71">
        <f t="shared" si="36"/>
        <v>0</v>
      </c>
      <c r="G102" s="71">
        <f t="shared" si="36"/>
        <v>0</v>
      </c>
      <c r="H102" s="71">
        <f t="shared" si="36"/>
        <v>0</v>
      </c>
      <c r="I102" s="71">
        <f t="shared" si="36"/>
        <v>0</v>
      </c>
      <c r="J102" s="71">
        <f t="shared" si="36"/>
        <v>15000</v>
      </c>
      <c r="K102" s="58"/>
    </row>
    <row r="103" spans="1:12" s="48" customFormat="1" ht="18" customHeight="1">
      <c r="A103" s="631"/>
      <c r="B103" s="84"/>
      <c r="C103" s="56" t="s">
        <v>230</v>
      </c>
      <c r="D103" s="97">
        <v>0</v>
      </c>
      <c r="E103" s="80">
        <v>0</v>
      </c>
      <c r="F103" s="80">
        <v>0</v>
      </c>
      <c r="G103" s="80">
        <v>0</v>
      </c>
      <c r="H103" s="80">
        <v>0</v>
      </c>
      <c r="I103" s="80">
        <v>0</v>
      </c>
      <c r="J103" s="80">
        <v>15000</v>
      </c>
      <c r="K103" s="58"/>
    </row>
    <row r="104" spans="1:12" s="48" customFormat="1" ht="12.75">
      <c r="A104" s="631"/>
      <c r="B104" s="86">
        <v>75020</v>
      </c>
      <c r="C104" s="38" t="s">
        <v>57</v>
      </c>
      <c r="D104" s="39">
        <v>12722788.620000001</v>
      </c>
      <c r="E104" s="39">
        <f>E105+E112+E115+E118</f>
        <v>13105417.409999998</v>
      </c>
      <c r="F104" s="39">
        <f t="shared" ref="F104:J104" si="37">F105+F112+F115+F118</f>
        <v>12489476.309999999</v>
      </c>
      <c r="G104" s="39">
        <f t="shared" si="37"/>
        <v>0</v>
      </c>
      <c r="H104" s="39">
        <f t="shared" si="37"/>
        <v>0</v>
      </c>
      <c r="I104" s="39">
        <f t="shared" si="37"/>
        <v>13861265.879999999</v>
      </c>
      <c r="J104" s="39">
        <f t="shared" si="37"/>
        <v>13671041.99</v>
      </c>
      <c r="K104" s="58"/>
    </row>
    <row r="105" spans="1:12" s="48" customFormat="1" ht="12.75">
      <c r="A105" s="631"/>
      <c r="B105" s="633"/>
      <c r="C105" s="42" t="s">
        <v>232</v>
      </c>
      <c r="D105" s="43">
        <v>11291188.610000001</v>
      </c>
      <c r="E105" s="43">
        <f>E106+E107+E108+E109</f>
        <v>11667583.619999999</v>
      </c>
      <c r="F105" s="43">
        <f>F106+F107+F108+F109</f>
        <v>10983476.309999999</v>
      </c>
      <c r="G105" s="43">
        <f t="shared" ref="G105:H105" si="38">G106+G107+G108</f>
        <v>0</v>
      </c>
      <c r="H105" s="43">
        <f t="shared" si="38"/>
        <v>0</v>
      </c>
      <c r="I105" s="43">
        <f>I106+I107+I108+I109</f>
        <v>11981865.879999999</v>
      </c>
      <c r="J105" s="43">
        <f>J106+J107+J108+J109</f>
        <v>11762541.99</v>
      </c>
      <c r="K105" s="58"/>
    </row>
    <row r="106" spans="1:12" s="40" customFormat="1" ht="25.5">
      <c r="A106" s="631"/>
      <c r="B106" s="632"/>
      <c r="C106" s="56" t="s">
        <v>230</v>
      </c>
      <c r="D106" s="375">
        <v>9285744.6300000008</v>
      </c>
      <c r="E106" s="88">
        <v>9282744.6300000008</v>
      </c>
      <c r="F106" s="80">
        <v>8806114.5999999996</v>
      </c>
      <c r="G106" s="80">
        <v>0</v>
      </c>
      <c r="H106" s="80">
        <v>0</v>
      </c>
      <c r="I106" s="80">
        <v>9387054</v>
      </c>
      <c r="J106" s="80">
        <v>9387054</v>
      </c>
      <c r="K106" s="61"/>
      <c r="L106" s="61"/>
    </row>
    <row r="107" spans="1:12" s="40" customFormat="1" ht="12.75">
      <c r="A107" s="631"/>
      <c r="B107" s="632"/>
      <c r="C107" s="54" t="s">
        <v>227</v>
      </c>
      <c r="D107" s="375">
        <v>21236</v>
      </c>
      <c r="E107" s="88">
        <v>21236</v>
      </c>
      <c r="F107" s="80">
        <f>E107</f>
        <v>21236</v>
      </c>
      <c r="G107" s="80">
        <v>0</v>
      </c>
      <c r="H107" s="80">
        <v>0</v>
      </c>
      <c r="I107" s="80">
        <v>37160</v>
      </c>
      <c r="J107" s="80">
        <v>37160</v>
      </c>
      <c r="K107" s="61"/>
    </row>
    <row r="108" spans="1:12" s="40" customFormat="1" ht="25.5">
      <c r="A108" s="631"/>
      <c r="B108" s="632"/>
      <c r="C108" s="54" t="s">
        <v>226</v>
      </c>
      <c r="D108" s="375">
        <v>1984207.98</v>
      </c>
      <c r="E108" s="88">
        <f>11570528.61-94000-22140-E106-E107</f>
        <v>2150407.9799999986</v>
      </c>
      <c r="F108" s="80">
        <v>2156125.71</v>
      </c>
      <c r="G108" s="80">
        <v>0</v>
      </c>
      <c r="H108" s="80">
        <v>0</v>
      </c>
      <c r="I108" s="80">
        <v>2557651.88</v>
      </c>
      <c r="J108" s="80">
        <v>2022528</v>
      </c>
      <c r="K108" s="61"/>
    </row>
    <row r="109" spans="1:12" s="40" customFormat="1" ht="12.75">
      <c r="A109" s="631"/>
      <c r="B109" s="632"/>
      <c r="C109" s="54" t="s">
        <v>643</v>
      </c>
      <c r="D109" s="375">
        <v>0</v>
      </c>
      <c r="E109" s="88">
        <f>E110</f>
        <v>213195.01</v>
      </c>
      <c r="F109" s="88">
        <v>0</v>
      </c>
      <c r="G109" s="88">
        <v>0</v>
      </c>
      <c r="H109" s="88">
        <v>0</v>
      </c>
      <c r="I109" s="88">
        <v>0</v>
      </c>
      <c r="J109" s="88">
        <f>SUM(J110:J111)</f>
        <v>315799.99</v>
      </c>
      <c r="K109" s="61"/>
    </row>
    <row r="110" spans="1:12" s="40" customFormat="1" ht="12.75">
      <c r="A110" s="631"/>
      <c r="B110" s="632"/>
      <c r="C110" s="351" t="s">
        <v>710</v>
      </c>
      <c r="D110" s="376">
        <v>0</v>
      </c>
      <c r="E110" s="352">
        <f>89541.91+17055.6+89541.9+17055.6</f>
        <v>213195.01</v>
      </c>
      <c r="F110" s="353"/>
      <c r="G110" s="353"/>
      <c r="H110" s="353"/>
      <c r="I110" s="353"/>
      <c r="J110" s="353">
        <v>315799.99</v>
      </c>
      <c r="K110" s="61"/>
    </row>
    <row r="111" spans="1:12" s="40" customFormat="1" ht="12.75">
      <c r="A111" s="631"/>
      <c r="B111" s="632"/>
      <c r="C111" s="351" t="s">
        <v>644</v>
      </c>
      <c r="D111" s="376">
        <v>0</v>
      </c>
      <c r="E111" s="352">
        <v>0</v>
      </c>
      <c r="F111" s="353"/>
      <c r="G111" s="353"/>
      <c r="H111" s="353"/>
      <c r="I111" s="353"/>
      <c r="J111" s="353"/>
      <c r="K111" s="61"/>
    </row>
    <row r="112" spans="1:12" s="48" customFormat="1" ht="12.75">
      <c r="A112" s="631"/>
      <c r="B112" s="632"/>
      <c r="C112" s="42" t="s">
        <v>245</v>
      </c>
      <c r="D112" s="43">
        <v>1081700</v>
      </c>
      <c r="E112" s="43">
        <f t="shared" ref="E112:J112" si="39">E113+E114</f>
        <v>1251700</v>
      </c>
      <c r="F112" s="43">
        <f t="shared" si="39"/>
        <v>1497000</v>
      </c>
      <c r="G112" s="43">
        <f t="shared" si="39"/>
        <v>0</v>
      </c>
      <c r="H112" s="43">
        <f t="shared" si="39"/>
        <v>0</v>
      </c>
      <c r="I112" s="43">
        <f t="shared" si="39"/>
        <v>1529500</v>
      </c>
      <c r="J112" s="43">
        <f t="shared" si="39"/>
        <v>1529500</v>
      </c>
      <c r="K112" s="58"/>
    </row>
    <row r="113" spans="1:11" s="40" customFormat="1" ht="15.75" customHeight="1">
      <c r="A113" s="631"/>
      <c r="B113" s="632"/>
      <c r="C113" s="56" t="s">
        <v>230</v>
      </c>
      <c r="D113" s="97">
        <v>0</v>
      </c>
      <c r="E113" s="80">
        <v>0</v>
      </c>
      <c r="F113" s="80">
        <v>0</v>
      </c>
      <c r="G113" s="80">
        <v>0</v>
      </c>
      <c r="H113" s="80">
        <v>0</v>
      </c>
      <c r="I113" s="80">
        <v>0</v>
      </c>
      <c r="J113" s="80">
        <v>0</v>
      </c>
      <c r="K113" s="61"/>
    </row>
    <row r="114" spans="1:11" s="40" customFormat="1" ht="25.5">
      <c r="A114" s="631"/>
      <c r="B114" s="632"/>
      <c r="C114" s="56" t="s">
        <v>226</v>
      </c>
      <c r="D114" s="45">
        <v>1081700</v>
      </c>
      <c r="E114" s="57">
        <v>1251700</v>
      </c>
      <c r="F114" s="57">
        <v>1497000</v>
      </c>
      <c r="G114" s="80">
        <v>0</v>
      </c>
      <c r="H114" s="80">
        <v>0</v>
      </c>
      <c r="I114" s="57">
        <v>1529500</v>
      </c>
      <c r="J114" s="57">
        <v>1529500</v>
      </c>
      <c r="K114" s="61"/>
    </row>
    <row r="115" spans="1:11" s="40" customFormat="1" ht="12.75">
      <c r="A115" s="631"/>
      <c r="B115" s="632"/>
      <c r="C115" s="42" t="s">
        <v>231</v>
      </c>
      <c r="D115" s="43">
        <v>340900.01</v>
      </c>
      <c r="E115" s="43">
        <f>E116+E117</f>
        <v>177133.79</v>
      </c>
      <c r="F115" s="43">
        <f t="shared" ref="F115:J115" si="40">F116+F117</f>
        <v>0</v>
      </c>
      <c r="G115" s="43">
        <f t="shared" si="40"/>
        <v>0</v>
      </c>
      <c r="H115" s="43">
        <f t="shared" si="40"/>
        <v>0</v>
      </c>
      <c r="I115" s="43">
        <f t="shared" si="40"/>
        <v>340900</v>
      </c>
      <c r="J115" s="43">
        <f t="shared" si="40"/>
        <v>370000</v>
      </c>
      <c r="K115" s="61"/>
    </row>
    <row r="116" spans="1:11" s="40" customFormat="1" ht="25.5">
      <c r="A116" s="631"/>
      <c r="B116" s="632"/>
      <c r="C116" s="44" t="s">
        <v>230</v>
      </c>
      <c r="D116" s="97">
        <v>232500.01</v>
      </c>
      <c r="E116" s="89">
        <v>72500.009999999995</v>
      </c>
      <c r="F116" s="89"/>
      <c r="G116" s="89"/>
      <c r="H116" s="89"/>
      <c r="I116" s="89">
        <v>232500</v>
      </c>
      <c r="J116" s="89">
        <v>250000</v>
      </c>
      <c r="K116" s="61"/>
    </row>
    <row r="117" spans="1:11" s="48" customFormat="1" ht="25.5">
      <c r="A117" s="631"/>
      <c r="B117" s="632"/>
      <c r="C117" s="44" t="s">
        <v>226</v>
      </c>
      <c r="D117" s="45">
        <v>108400</v>
      </c>
      <c r="E117" s="45">
        <f>177133.79-E116</f>
        <v>104633.78000000001</v>
      </c>
      <c r="F117" s="46"/>
      <c r="G117" s="46"/>
      <c r="H117" s="46"/>
      <c r="I117" s="46">
        <v>108400</v>
      </c>
      <c r="J117" s="46">
        <v>120000</v>
      </c>
      <c r="K117" s="58"/>
    </row>
    <row r="118" spans="1:11" s="48" customFormat="1" ht="12.75">
      <c r="A118" s="631"/>
      <c r="B118" s="632"/>
      <c r="C118" s="42" t="s">
        <v>738</v>
      </c>
      <c r="D118" s="43">
        <v>9000</v>
      </c>
      <c r="E118" s="43">
        <f t="shared" ref="E118:J118" si="41">E119</f>
        <v>9000</v>
      </c>
      <c r="F118" s="43">
        <f t="shared" si="41"/>
        <v>9000</v>
      </c>
      <c r="G118" s="43">
        <f t="shared" si="41"/>
        <v>0</v>
      </c>
      <c r="H118" s="43">
        <f t="shared" si="41"/>
        <v>0</v>
      </c>
      <c r="I118" s="43">
        <f t="shared" si="41"/>
        <v>9000</v>
      </c>
      <c r="J118" s="43">
        <f t="shared" si="41"/>
        <v>9000</v>
      </c>
      <c r="K118" s="58"/>
    </row>
    <row r="119" spans="1:11" s="48" customFormat="1" ht="25.5">
      <c r="A119" s="631"/>
      <c r="B119" s="636"/>
      <c r="C119" s="56" t="s">
        <v>226</v>
      </c>
      <c r="D119" s="92">
        <v>9000</v>
      </c>
      <c r="E119" s="90">
        <v>9000</v>
      </c>
      <c r="F119" s="90">
        <v>9000</v>
      </c>
      <c r="G119" s="90">
        <v>0</v>
      </c>
      <c r="H119" s="90">
        <v>0</v>
      </c>
      <c r="I119" s="90">
        <v>9000</v>
      </c>
      <c r="J119" s="90">
        <v>9000</v>
      </c>
      <c r="K119" s="58"/>
    </row>
    <row r="120" spans="1:11" s="48" customFormat="1" ht="25.5">
      <c r="A120" s="631"/>
      <c r="B120" s="86">
        <v>75075</v>
      </c>
      <c r="C120" s="38" t="s">
        <v>247</v>
      </c>
      <c r="D120" s="39">
        <v>145000</v>
      </c>
      <c r="E120" s="39">
        <f t="shared" ref="E120:J120" si="42">E121+E123+E125</f>
        <v>145000</v>
      </c>
      <c r="F120" s="39">
        <f t="shared" si="42"/>
        <v>145000</v>
      </c>
      <c r="G120" s="39">
        <f t="shared" si="42"/>
        <v>0</v>
      </c>
      <c r="H120" s="39">
        <f t="shared" si="42"/>
        <v>0</v>
      </c>
      <c r="I120" s="39">
        <f t="shared" si="42"/>
        <v>180000</v>
      </c>
      <c r="J120" s="39">
        <f t="shared" si="42"/>
        <v>145000</v>
      </c>
      <c r="K120" s="58"/>
    </row>
    <row r="121" spans="1:11" s="40" customFormat="1" ht="12.75">
      <c r="A121" s="631"/>
      <c r="B121" s="639"/>
      <c r="C121" s="42" t="s">
        <v>232</v>
      </c>
      <c r="D121" s="43">
        <v>0</v>
      </c>
      <c r="E121" s="43">
        <f>E122</f>
        <v>0</v>
      </c>
      <c r="F121" s="43">
        <f>F122</f>
        <v>0</v>
      </c>
      <c r="G121" s="43">
        <f>G122</f>
        <v>0</v>
      </c>
      <c r="H121" s="43"/>
      <c r="I121" s="43">
        <f>I122</f>
        <v>0</v>
      </c>
      <c r="J121" s="43">
        <f>J122</f>
        <v>0</v>
      </c>
      <c r="K121" s="61"/>
    </row>
    <row r="122" spans="1:11" s="40" customFormat="1" ht="25.5">
      <c r="A122" s="631"/>
      <c r="B122" s="640"/>
      <c r="C122" s="44" t="s">
        <v>226</v>
      </c>
      <c r="D122" s="91">
        <v>0</v>
      </c>
      <c r="E122" s="92">
        <v>0</v>
      </c>
      <c r="F122" s="91">
        <v>0</v>
      </c>
      <c r="G122" s="91">
        <v>0</v>
      </c>
      <c r="H122" s="91">
        <v>0</v>
      </c>
      <c r="I122" s="92">
        <v>0</v>
      </c>
      <c r="J122" s="92">
        <f>I122</f>
        <v>0</v>
      </c>
      <c r="K122" s="61"/>
    </row>
    <row r="123" spans="1:11" s="40" customFormat="1" ht="12.75">
      <c r="A123" s="631"/>
      <c r="B123" s="640"/>
      <c r="C123" s="42" t="s">
        <v>246</v>
      </c>
      <c r="D123" s="43">
        <v>145000</v>
      </c>
      <c r="E123" s="43">
        <f t="shared" ref="E123:J123" si="43">E124</f>
        <v>145000</v>
      </c>
      <c r="F123" s="43">
        <f t="shared" si="43"/>
        <v>145000</v>
      </c>
      <c r="G123" s="43">
        <f t="shared" si="43"/>
        <v>0</v>
      </c>
      <c r="H123" s="43">
        <f t="shared" si="43"/>
        <v>0</v>
      </c>
      <c r="I123" s="43">
        <f t="shared" si="43"/>
        <v>180000</v>
      </c>
      <c r="J123" s="43">
        <f t="shared" si="43"/>
        <v>145000</v>
      </c>
      <c r="K123" s="61"/>
    </row>
    <row r="124" spans="1:11" s="48" customFormat="1" ht="25.5">
      <c r="A124" s="631"/>
      <c r="B124" s="640"/>
      <c r="C124" s="56" t="s">
        <v>226</v>
      </c>
      <c r="D124" s="92">
        <v>145000</v>
      </c>
      <c r="E124" s="90">
        <v>145000</v>
      </c>
      <c r="F124" s="90">
        <v>145000</v>
      </c>
      <c r="G124" s="90">
        <v>0</v>
      </c>
      <c r="H124" s="90">
        <v>0</v>
      </c>
      <c r="I124" s="90">
        <f>60000+20000+100000</f>
        <v>180000</v>
      </c>
      <c r="J124" s="90">
        <v>145000</v>
      </c>
      <c r="K124" s="58"/>
    </row>
    <row r="125" spans="1:11" s="48" customFormat="1" ht="12.75">
      <c r="A125" s="631"/>
      <c r="B125" s="87"/>
      <c r="C125" s="42" t="s">
        <v>231</v>
      </c>
      <c r="D125" s="43">
        <v>0</v>
      </c>
      <c r="E125" s="43">
        <f t="shared" ref="E125:J125" si="44">E126</f>
        <v>0</v>
      </c>
      <c r="F125" s="43">
        <f t="shared" si="44"/>
        <v>0</v>
      </c>
      <c r="G125" s="43">
        <f t="shared" si="44"/>
        <v>0</v>
      </c>
      <c r="H125" s="43">
        <f t="shared" si="44"/>
        <v>0</v>
      </c>
      <c r="I125" s="43">
        <f t="shared" si="44"/>
        <v>0</v>
      </c>
      <c r="J125" s="43">
        <f t="shared" si="44"/>
        <v>0</v>
      </c>
      <c r="K125" s="58"/>
    </row>
    <row r="126" spans="1:11" s="48" customFormat="1" ht="25.5">
      <c r="A126" s="631"/>
      <c r="B126" s="87"/>
      <c r="C126" s="44" t="s">
        <v>226</v>
      </c>
      <c r="D126" s="91">
        <v>0</v>
      </c>
      <c r="E126" s="91">
        <v>0</v>
      </c>
      <c r="F126" s="91">
        <v>0</v>
      </c>
      <c r="G126" s="91">
        <v>0</v>
      </c>
      <c r="H126" s="91">
        <v>0</v>
      </c>
      <c r="I126" s="91">
        <v>0</v>
      </c>
      <c r="J126" s="91">
        <v>0</v>
      </c>
      <c r="K126" s="58"/>
    </row>
    <row r="127" spans="1:11" s="48" customFormat="1" ht="12.75">
      <c r="A127" s="631"/>
      <c r="B127" s="86">
        <v>75095</v>
      </c>
      <c r="C127" s="38" t="s">
        <v>45</v>
      </c>
      <c r="D127" s="39">
        <v>319500</v>
      </c>
      <c r="E127" s="39">
        <f t="shared" ref="E127:J127" si="45">E128+E132</f>
        <v>319500</v>
      </c>
      <c r="F127" s="39">
        <f t="shared" si="45"/>
        <v>319500</v>
      </c>
      <c r="G127" s="39">
        <f t="shared" si="45"/>
        <v>0</v>
      </c>
      <c r="H127" s="39">
        <f t="shared" si="45"/>
        <v>0</v>
      </c>
      <c r="I127" s="39">
        <f t="shared" si="45"/>
        <v>325300</v>
      </c>
      <c r="J127" s="39">
        <f t="shared" si="45"/>
        <v>425300</v>
      </c>
      <c r="K127" s="58"/>
    </row>
    <row r="128" spans="1:11" s="48" customFormat="1" ht="12.75">
      <c r="A128" s="631"/>
      <c r="B128" s="641"/>
      <c r="C128" s="42" t="s">
        <v>232</v>
      </c>
      <c r="D128" s="43">
        <v>319500</v>
      </c>
      <c r="E128" s="43">
        <f>E129+E130</f>
        <v>319500</v>
      </c>
      <c r="F128" s="43">
        <f t="shared" ref="F128:J128" si="46">F129+F130</f>
        <v>319500</v>
      </c>
      <c r="G128" s="43">
        <f t="shared" si="46"/>
        <v>0</v>
      </c>
      <c r="H128" s="43">
        <f t="shared" si="46"/>
        <v>0</v>
      </c>
      <c r="I128" s="43">
        <f t="shared" si="46"/>
        <v>325300</v>
      </c>
      <c r="J128" s="43">
        <f t="shared" si="46"/>
        <v>325300</v>
      </c>
      <c r="K128" s="58"/>
    </row>
    <row r="129" spans="1:11" s="18" customFormat="1" ht="25.5">
      <c r="A129" s="631"/>
      <c r="B129" s="641"/>
      <c r="C129" s="56" t="s">
        <v>226</v>
      </c>
      <c r="D129" s="92">
        <v>319500</v>
      </c>
      <c r="E129" s="90">
        <v>319500</v>
      </c>
      <c r="F129" s="90">
        <f>E129</f>
        <v>319500</v>
      </c>
      <c r="G129" s="90">
        <v>0</v>
      </c>
      <c r="H129" s="90">
        <v>0</v>
      </c>
      <c r="I129" s="90">
        <v>325300</v>
      </c>
      <c r="J129" s="90">
        <f>I129</f>
        <v>325300</v>
      </c>
      <c r="K129" s="28"/>
    </row>
    <row r="130" spans="1:11" s="18" customFormat="1" ht="12.75">
      <c r="A130" s="631"/>
      <c r="B130" s="641"/>
      <c r="C130" s="54" t="s">
        <v>643</v>
      </c>
      <c r="D130" s="375">
        <v>0</v>
      </c>
      <c r="E130" s="88">
        <v>0</v>
      </c>
      <c r="F130" s="80">
        <f>E130</f>
        <v>0</v>
      </c>
      <c r="G130" s="80">
        <v>0</v>
      </c>
      <c r="H130" s="80">
        <v>0</v>
      </c>
      <c r="I130" s="80">
        <v>0</v>
      </c>
      <c r="J130" s="80">
        <v>0</v>
      </c>
      <c r="K130" s="28"/>
    </row>
    <row r="131" spans="1:11" s="18" customFormat="1" ht="12.75">
      <c r="A131" s="631"/>
      <c r="B131" s="641"/>
      <c r="C131" s="351" t="s">
        <v>645</v>
      </c>
      <c r="D131" s="376">
        <v>0</v>
      </c>
      <c r="E131" s="352">
        <v>0</v>
      </c>
      <c r="F131" s="353">
        <f>E131</f>
        <v>0</v>
      </c>
      <c r="G131" s="353">
        <v>0</v>
      </c>
      <c r="H131" s="353">
        <v>0</v>
      </c>
      <c r="I131" s="353">
        <v>0</v>
      </c>
      <c r="J131" s="353">
        <v>0</v>
      </c>
      <c r="K131" s="28"/>
    </row>
    <row r="132" spans="1:11" s="40" customFormat="1" ht="12.75">
      <c r="A132" s="631"/>
      <c r="B132" s="641"/>
      <c r="C132" s="42" t="s">
        <v>231</v>
      </c>
      <c r="D132" s="43">
        <v>0</v>
      </c>
      <c r="E132" s="43">
        <f>E133</f>
        <v>0</v>
      </c>
      <c r="F132" s="43">
        <f>F133</f>
        <v>0</v>
      </c>
      <c r="G132" s="43"/>
      <c r="H132" s="43"/>
      <c r="I132" s="43">
        <f>I133</f>
        <v>0</v>
      </c>
      <c r="J132" s="43">
        <f>J133</f>
        <v>100000</v>
      </c>
      <c r="K132" s="61"/>
    </row>
    <row r="133" spans="1:11" s="40" customFormat="1" ht="25.5">
      <c r="A133" s="633"/>
      <c r="B133" s="637"/>
      <c r="C133" s="44" t="s">
        <v>226</v>
      </c>
      <c r="D133" s="91">
        <v>0</v>
      </c>
      <c r="E133" s="91">
        <v>0</v>
      </c>
      <c r="F133" s="91">
        <v>0</v>
      </c>
      <c r="G133" s="91">
        <v>0</v>
      </c>
      <c r="H133" s="91">
        <v>0</v>
      </c>
      <c r="I133" s="91">
        <v>0</v>
      </c>
      <c r="J133" s="91">
        <v>100000</v>
      </c>
      <c r="K133" s="61"/>
    </row>
    <row r="134" spans="1:11" s="40" customFormat="1" ht="25.5">
      <c r="A134" s="33">
        <v>754</v>
      </c>
      <c r="B134" s="34"/>
      <c r="C134" s="35" t="s">
        <v>66</v>
      </c>
      <c r="D134" s="36">
        <v>215636.31999999998</v>
      </c>
      <c r="E134" s="36">
        <f>E138+E147+E135</f>
        <v>216636.32</v>
      </c>
      <c r="F134" s="36">
        <f>F138+F147</f>
        <v>223955.25</v>
      </c>
      <c r="G134" s="36">
        <f>G138+G147</f>
        <v>0</v>
      </c>
      <c r="H134" s="36">
        <f>H138+H147</f>
        <v>0</v>
      </c>
      <c r="I134" s="36">
        <f>I138+I147</f>
        <v>344482.47</v>
      </c>
      <c r="J134" s="36">
        <f>J138+J147</f>
        <v>359482</v>
      </c>
      <c r="K134" s="61"/>
    </row>
    <row r="135" spans="1:11" s="40" customFormat="1" ht="12.75">
      <c r="A135" s="93"/>
      <c r="B135" s="37" t="s">
        <v>248</v>
      </c>
      <c r="C135" s="38" t="s">
        <v>249</v>
      </c>
      <c r="D135" s="39">
        <v>0</v>
      </c>
      <c r="E135" s="39">
        <f t="shared" ref="E135:J136" si="47">E136</f>
        <v>0</v>
      </c>
      <c r="F135" s="39">
        <f t="shared" si="47"/>
        <v>0</v>
      </c>
      <c r="G135" s="39">
        <f t="shared" si="47"/>
        <v>0</v>
      </c>
      <c r="H135" s="39">
        <f t="shared" si="47"/>
        <v>0</v>
      </c>
      <c r="I135" s="39">
        <f t="shared" si="47"/>
        <v>0</v>
      </c>
      <c r="J135" s="39">
        <f t="shared" si="47"/>
        <v>0</v>
      </c>
      <c r="K135" s="61"/>
    </row>
    <row r="136" spans="1:11" s="40" customFormat="1" ht="12.75">
      <c r="A136" s="93"/>
      <c r="B136" s="34"/>
      <c r="C136" s="42" t="s">
        <v>246</v>
      </c>
      <c r="D136" s="43">
        <v>0</v>
      </c>
      <c r="E136" s="43">
        <f t="shared" si="47"/>
        <v>0</v>
      </c>
      <c r="F136" s="43">
        <f t="shared" si="47"/>
        <v>0</v>
      </c>
      <c r="G136" s="43">
        <f t="shared" si="47"/>
        <v>0</v>
      </c>
      <c r="H136" s="43">
        <f t="shared" si="47"/>
        <v>0</v>
      </c>
      <c r="I136" s="43">
        <f t="shared" si="47"/>
        <v>0</v>
      </c>
      <c r="J136" s="43">
        <f t="shared" si="47"/>
        <v>0</v>
      </c>
      <c r="K136" s="61"/>
    </row>
    <row r="137" spans="1:11" s="40" customFormat="1" ht="25.5">
      <c r="A137" s="93"/>
      <c r="B137" s="34"/>
      <c r="C137" s="54" t="s">
        <v>226</v>
      </c>
      <c r="D137" s="118">
        <v>0</v>
      </c>
      <c r="E137" s="94">
        <v>0</v>
      </c>
      <c r="F137" s="57">
        <v>0</v>
      </c>
      <c r="G137" s="57">
        <v>0</v>
      </c>
      <c r="H137" s="57">
        <v>0</v>
      </c>
      <c r="I137" s="70"/>
      <c r="J137" s="70"/>
      <c r="K137" s="61"/>
    </row>
    <row r="138" spans="1:11" s="40" customFormat="1" ht="12.75">
      <c r="A138" s="96"/>
      <c r="B138" s="37">
        <v>75421</v>
      </c>
      <c r="C138" s="38" t="s">
        <v>250</v>
      </c>
      <c r="D138" s="39">
        <v>206636.31999999998</v>
      </c>
      <c r="E138" s="39">
        <f t="shared" ref="E138:J138" si="48">E139+E143+E145</f>
        <v>208095.71</v>
      </c>
      <c r="F138" s="39">
        <f t="shared" si="48"/>
        <v>215414.64</v>
      </c>
      <c r="G138" s="39">
        <f t="shared" si="48"/>
        <v>0</v>
      </c>
      <c r="H138" s="39">
        <f t="shared" si="48"/>
        <v>0</v>
      </c>
      <c r="I138" s="39">
        <f t="shared" si="48"/>
        <v>335482.46999999997</v>
      </c>
      <c r="J138" s="39">
        <f t="shared" si="48"/>
        <v>350482</v>
      </c>
      <c r="K138" s="61"/>
    </row>
    <row r="139" spans="1:11" s="40" customFormat="1" ht="12.75">
      <c r="A139" s="96"/>
      <c r="B139" s="62"/>
      <c r="C139" s="42" t="s">
        <v>232</v>
      </c>
      <c r="D139" s="43">
        <v>206636.31999999998</v>
      </c>
      <c r="E139" s="43">
        <f t="shared" ref="E139:J139" si="49">E140+E141+E142</f>
        <v>208095.71</v>
      </c>
      <c r="F139" s="43">
        <f t="shared" si="49"/>
        <v>215414.64</v>
      </c>
      <c r="G139" s="43">
        <f t="shared" si="49"/>
        <v>0</v>
      </c>
      <c r="H139" s="43">
        <f t="shared" si="49"/>
        <v>0</v>
      </c>
      <c r="I139" s="43">
        <f t="shared" si="49"/>
        <v>335482.46999999997</v>
      </c>
      <c r="J139" s="43">
        <f t="shared" si="49"/>
        <v>335482</v>
      </c>
      <c r="K139" s="61"/>
    </row>
    <row r="140" spans="1:11" s="40" customFormat="1" ht="18" customHeight="1">
      <c r="A140" s="96"/>
      <c r="B140" s="53"/>
      <c r="C140" s="56" t="s">
        <v>230</v>
      </c>
      <c r="D140" s="118">
        <v>202335.61</v>
      </c>
      <c r="E140" s="94">
        <v>202335.61</v>
      </c>
      <c r="F140" s="57">
        <v>209829.64</v>
      </c>
      <c r="G140" s="57">
        <v>0</v>
      </c>
      <c r="H140" s="57">
        <v>0</v>
      </c>
      <c r="I140" s="57">
        <v>322988.96999999997</v>
      </c>
      <c r="J140" s="57">
        <v>322989</v>
      </c>
      <c r="K140" s="61"/>
    </row>
    <row r="141" spans="1:11" s="40" customFormat="1" ht="12.75">
      <c r="A141" s="96"/>
      <c r="B141" s="53"/>
      <c r="C141" s="54" t="s">
        <v>227</v>
      </c>
      <c r="D141" s="118">
        <v>500</v>
      </c>
      <c r="E141" s="94">
        <v>500</v>
      </c>
      <c r="F141" s="57">
        <v>500</v>
      </c>
      <c r="G141" s="57">
        <v>0</v>
      </c>
      <c r="H141" s="57">
        <v>0</v>
      </c>
      <c r="I141" s="57">
        <v>500</v>
      </c>
      <c r="J141" s="57">
        <v>500</v>
      </c>
      <c r="K141" s="61"/>
    </row>
    <row r="142" spans="1:11" s="48" customFormat="1" ht="25.5">
      <c r="A142" s="96"/>
      <c r="B142" s="53"/>
      <c r="C142" s="54" t="s">
        <v>226</v>
      </c>
      <c r="D142" s="118">
        <v>3800.71</v>
      </c>
      <c r="E142" s="94">
        <f>5085.1+175</f>
        <v>5260.1</v>
      </c>
      <c r="F142" s="57">
        <v>5085</v>
      </c>
      <c r="G142" s="57">
        <v>0</v>
      </c>
      <c r="H142" s="57">
        <v>0</v>
      </c>
      <c r="I142" s="70">
        <v>11993.5</v>
      </c>
      <c r="J142" s="70">
        <v>11993</v>
      </c>
      <c r="K142" s="58"/>
    </row>
    <row r="143" spans="1:11" s="48" customFormat="1" ht="12.75">
      <c r="A143" s="96"/>
      <c r="B143" s="53"/>
      <c r="C143" s="42" t="s">
        <v>231</v>
      </c>
      <c r="D143" s="43">
        <v>0</v>
      </c>
      <c r="E143" s="43">
        <f>E144</f>
        <v>0</v>
      </c>
      <c r="F143" s="43">
        <f t="shared" ref="F143:J143" si="50">F144</f>
        <v>0</v>
      </c>
      <c r="G143" s="43">
        <f t="shared" si="50"/>
        <v>0</v>
      </c>
      <c r="H143" s="43">
        <f t="shared" si="50"/>
        <v>0</v>
      </c>
      <c r="I143" s="43">
        <f t="shared" si="50"/>
        <v>0</v>
      </c>
      <c r="J143" s="43">
        <f t="shared" si="50"/>
        <v>15000</v>
      </c>
      <c r="K143" s="58"/>
    </row>
    <row r="144" spans="1:11" s="48" customFormat="1" ht="14.25" customHeight="1">
      <c r="A144" s="96"/>
      <c r="B144" s="53"/>
      <c r="C144" s="44" t="s">
        <v>230</v>
      </c>
      <c r="D144" s="97">
        <v>0</v>
      </c>
      <c r="E144" s="89">
        <v>0</v>
      </c>
      <c r="F144" s="89">
        <v>0</v>
      </c>
      <c r="G144" s="89">
        <v>0</v>
      </c>
      <c r="H144" s="89">
        <v>0</v>
      </c>
      <c r="I144" s="89">
        <v>0</v>
      </c>
      <c r="J144" s="89">
        <v>15000</v>
      </c>
      <c r="K144" s="58"/>
    </row>
    <row r="145" spans="1:11" s="18" customFormat="1" ht="12.75">
      <c r="A145" s="96"/>
      <c r="B145" s="53"/>
      <c r="C145" s="42" t="s">
        <v>251</v>
      </c>
      <c r="D145" s="43">
        <v>0</v>
      </c>
      <c r="E145" s="43">
        <f t="shared" ref="E145:J145" si="51">E146</f>
        <v>0</v>
      </c>
      <c r="F145" s="43">
        <f t="shared" si="51"/>
        <v>0</v>
      </c>
      <c r="G145" s="43">
        <f t="shared" si="51"/>
        <v>0</v>
      </c>
      <c r="H145" s="43">
        <f t="shared" si="51"/>
        <v>0</v>
      </c>
      <c r="I145" s="43">
        <f t="shared" si="51"/>
        <v>0</v>
      </c>
      <c r="J145" s="43">
        <f t="shared" si="51"/>
        <v>0</v>
      </c>
      <c r="K145" s="28"/>
    </row>
    <row r="146" spans="1:11" s="18" customFormat="1" ht="25.5">
      <c r="A146" s="96"/>
      <c r="B146" s="53"/>
      <c r="C146" s="98" t="s">
        <v>226</v>
      </c>
      <c r="D146" s="119">
        <v>0</v>
      </c>
      <c r="E146" s="99">
        <v>0</v>
      </c>
      <c r="F146" s="57">
        <v>0</v>
      </c>
      <c r="G146" s="57">
        <v>0</v>
      </c>
      <c r="H146" s="57">
        <v>0</v>
      </c>
      <c r="I146" s="57">
        <v>0</v>
      </c>
      <c r="J146" s="57">
        <v>0</v>
      </c>
      <c r="K146" s="28"/>
    </row>
    <row r="147" spans="1:11" s="48" customFormat="1" ht="12.75">
      <c r="A147" s="96"/>
      <c r="B147" s="37">
        <v>75495</v>
      </c>
      <c r="C147" s="38" t="s">
        <v>45</v>
      </c>
      <c r="D147" s="39">
        <v>9000</v>
      </c>
      <c r="E147" s="39">
        <f t="shared" ref="E147:J147" si="52">E148</f>
        <v>8540.61</v>
      </c>
      <c r="F147" s="39">
        <f t="shared" si="52"/>
        <v>8540.61</v>
      </c>
      <c r="G147" s="39">
        <f t="shared" si="52"/>
        <v>0</v>
      </c>
      <c r="H147" s="39">
        <f t="shared" si="52"/>
        <v>0</v>
      </c>
      <c r="I147" s="39">
        <f t="shared" si="52"/>
        <v>9000</v>
      </c>
      <c r="J147" s="39">
        <f t="shared" si="52"/>
        <v>9000</v>
      </c>
      <c r="K147" s="58"/>
    </row>
    <row r="148" spans="1:11" s="18" customFormat="1" ht="12.75">
      <c r="A148" s="96"/>
      <c r="B148" s="53"/>
      <c r="C148" s="42" t="s">
        <v>232</v>
      </c>
      <c r="D148" s="43">
        <v>9000</v>
      </c>
      <c r="E148" s="43">
        <f>E149+E150</f>
        <v>8540.61</v>
      </c>
      <c r="F148" s="43">
        <f>F150</f>
        <v>8540.61</v>
      </c>
      <c r="G148" s="43">
        <f>G150</f>
        <v>0</v>
      </c>
      <c r="H148" s="43">
        <f>H150</f>
        <v>0</v>
      </c>
      <c r="I148" s="43">
        <f>I150</f>
        <v>9000</v>
      </c>
      <c r="J148" s="43">
        <f>J150</f>
        <v>9000</v>
      </c>
      <c r="K148" s="28"/>
    </row>
    <row r="149" spans="1:11" s="18" customFormat="1" ht="25.5">
      <c r="A149" s="96"/>
      <c r="B149" s="53"/>
      <c r="C149" s="98" t="s">
        <v>230</v>
      </c>
      <c r="D149" s="45">
        <v>0</v>
      </c>
      <c r="E149" s="57">
        <v>0</v>
      </c>
      <c r="F149" s="57">
        <v>0</v>
      </c>
      <c r="G149" s="57">
        <v>0</v>
      </c>
      <c r="H149" s="57">
        <v>0</v>
      </c>
      <c r="I149" s="57">
        <v>0</v>
      </c>
      <c r="J149" s="57">
        <v>0</v>
      </c>
      <c r="K149" s="28"/>
    </row>
    <row r="150" spans="1:11" s="18" customFormat="1" ht="25.5">
      <c r="A150" s="96"/>
      <c r="B150" s="53"/>
      <c r="C150" s="98" t="s">
        <v>226</v>
      </c>
      <c r="D150" s="45">
        <v>9000</v>
      </c>
      <c r="E150" s="57">
        <v>8540.61</v>
      </c>
      <c r="F150" s="57">
        <f>E150</f>
        <v>8540.61</v>
      </c>
      <c r="G150" s="57">
        <v>0</v>
      </c>
      <c r="H150" s="57">
        <v>0</v>
      </c>
      <c r="I150" s="57">
        <v>9000</v>
      </c>
      <c r="J150" s="57">
        <v>9000</v>
      </c>
      <c r="K150" s="28"/>
    </row>
    <row r="151" spans="1:11" s="48" customFormat="1" ht="12.75">
      <c r="A151" s="33" t="s">
        <v>252</v>
      </c>
      <c r="B151" s="34"/>
      <c r="C151" s="35" t="s">
        <v>70</v>
      </c>
      <c r="D151" s="36">
        <v>0</v>
      </c>
      <c r="E151" s="36">
        <f t="shared" ref="E151:J153" si="53">E152</f>
        <v>0</v>
      </c>
      <c r="F151" s="36">
        <f t="shared" si="53"/>
        <v>0</v>
      </c>
      <c r="G151" s="36">
        <f t="shared" si="53"/>
        <v>0</v>
      </c>
      <c r="H151" s="36">
        <f t="shared" si="53"/>
        <v>0</v>
      </c>
      <c r="I151" s="36">
        <f t="shared" si="53"/>
        <v>0</v>
      </c>
      <c r="J151" s="36">
        <f t="shared" si="53"/>
        <v>0</v>
      </c>
      <c r="K151" s="58"/>
    </row>
    <row r="152" spans="1:11" s="48" customFormat="1">
      <c r="A152" s="100"/>
      <c r="B152" s="37" t="s">
        <v>253</v>
      </c>
      <c r="C152" s="38" t="s">
        <v>254</v>
      </c>
      <c r="D152" s="39">
        <v>0</v>
      </c>
      <c r="E152" s="39">
        <f>E153</f>
        <v>0</v>
      </c>
      <c r="F152" s="39">
        <f t="shared" si="53"/>
        <v>0</v>
      </c>
      <c r="G152" s="39">
        <f t="shared" si="53"/>
        <v>0</v>
      </c>
      <c r="H152" s="39">
        <f t="shared" si="53"/>
        <v>0</v>
      </c>
      <c r="I152" s="39">
        <f t="shared" si="53"/>
        <v>0</v>
      </c>
      <c r="J152" s="39">
        <f t="shared" si="53"/>
        <v>0</v>
      </c>
      <c r="K152" s="58"/>
    </row>
    <row r="153" spans="1:11" s="74" customFormat="1" ht="13.5" customHeight="1">
      <c r="A153" s="101"/>
      <c r="B153" s="642"/>
      <c r="C153" s="102" t="s">
        <v>232</v>
      </c>
      <c r="D153" s="103">
        <v>0</v>
      </c>
      <c r="E153" s="103">
        <f>E154</f>
        <v>0</v>
      </c>
      <c r="F153" s="103">
        <f t="shared" si="53"/>
        <v>0</v>
      </c>
      <c r="G153" s="103">
        <f t="shared" si="53"/>
        <v>0</v>
      </c>
      <c r="H153" s="103">
        <f t="shared" si="53"/>
        <v>0</v>
      </c>
      <c r="I153" s="103">
        <f t="shared" si="53"/>
        <v>0</v>
      </c>
      <c r="J153" s="103">
        <f t="shared" si="53"/>
        <v>0</v>
      </c>
      <c r="K153" s="259"/>
    </row>
    <row r="154" spans="1:11" s="108" customFormat="1" ht="12.75" customHeight="1">
      <c r="A154" s="101"/>
      <c r="B154" s="643"/>
      <c r="C154" s="106" t="s">
        <v>226</v>
      </c>
      <c r="D154" s="97">
        <v>0</v>
      </c>
      <c r="E154" s="80">
        <v>0</v>
      </c>
      <c r="F154" s="80">
        <v>0</v>
      </c>
      <c r="G154" s="80">
        <v>0</v>
      </c>
      <c r="H154" s="80">
        <v>0</v>
      </c>
      <c r="I154" s="80">
        <v>0</v>
      </c>
      <c r="J154" s="80">
        <v>0</v>
      </c>
      <c r="K154" s="269"/>
    </row>
    <row r="155" spans="1:11" s="48" customFormat="1" ht="12.75">
      <c r="A155" s="33">
        <v>757</v>
      </c>
      <c r="B155" s="34"/>
      <c r="C155" s="35" t="s">
        <v>255</v>
      </c>
      <c r="D155" s="36">
        <f>D156+D159</f>
        <v>2430000</v>
      </c>
      <c r="E155" s="36">
        <f t="shared" ref="E155:I155" si="54">E156+E159</f>
        <v>2430000</v>
      </c>
      <c r="F155" s="36">
        <f t="shared" si="54"/>
        <v>2230000</v>
      </c>
      <c r="G155" s="36">
        <f t="shared" si="54"/>
        <v>0</v>
      </c>
      <c r="H155" s="36">
        <f t="shared" si="54"/>
        <v>0</v>
      </c>
      <c r="I155" s="36">
        <f t="shared" si="54"/>
        <v>5430000</v>
      </c>
      <c r="J155" s="36">
        <f>J156+J159</f>
        <v>5500000</v>
      </c>
      <c r="K155" s="58"/>
    </row>
    <row r="156" spans="1:11" s="48" customFormat="1" ht="38.25">
      <c r="A156" s="100"/>
      <c r="B156" s="37">
        <v>75702</v>
      </c>
      <c r="C156" s="38" t="s">
        <v>256</v>
      </c>
      <c r="D156" s="39">
        <v>2430000</v>
      </c>
      <c r="E156" s="39">
        <f t="shared" ref="E156:H160" si="55">E157</f>
        <v>2430000</v>
      </c>
      <c r="F156" s="39">
        <f t="shared" si="55"/>
        <v>2230000</v>
      </c>
      <c r="G156" s="39">
        <f t="shared" si="55"/>
        <v>0</v>
      </c>
      <c r="H156" s="39">
        <f t="shared" si="55"/>
        <v>0</v>
      </c>
      <c r="I156" s="39">
        <f t="shared" ref="I156:J160" si="56">I157</f>
        <v>2430000</v>
      </c>
      <c r="J156" s="39">
        <f t="shared" si="56"/>
        <v>2500000</v>
      </c>
      <c r="K156" s="58"/>
    </row>
    <row r="157" spans="1:11" s="48" customFormat="1">
      <c r="A157" s="109"/>
      <c r="B157" s="87"/>
      <c r="C157" s="42" t="s">
        <v>231</v>
      </c>
      <c r="D157" s="43">
        <v>2430000</v>
      </c>
      <c r="E157" s="43">
        <f t="shared" si="55"/>
        <v>2430000</v>
      </c>
      <c r="F157" s="43">
        <f t="shared" si="55"/>
        <v>2230000</v>
      </c>
      <c r="G157" s="43">
        <f>G158</f>
        <v>0</v>
      </c>
      <c r="H157" s="43">
        <f>H158</f>
        <v>0</v>
      </c>
      <c r="I157" s="43">
        <f t="shared" si="56"/>
        <v>2430000</v>
      </c>
      <c r="J157" s="43">
        <f t="shared" si="56"/>
        <v>2500000</v>
      </c>
      <c r="K157" s="58"/>
    </row>
    <row r="158" spans="1:11" s="40" customFormat="1" ht="22.5">
      <c r="A158" s="110"/>
      <c r="B158" s="111"/>
      <c r="C158" s="112" t="s">
        <v>807</v>
      </c>
      <c r="D158" s="45">
        <v>2430000</v>
      </c>
      <c r="E158" s="45">
        <f>'Wykonanie 8 2025'!I543+'Wykonanie 8 2025'!I544</f>
        <v>2430000</v>
      </c>
      <c r="F158" s="46">
        <v>2230000</v>
      </c>
      <c r="G158" s="46">
        <v>0</v>
      </c>
      <c r="H158" s="46">
        <v>0</v>
      </c>
      <c r="I158" s="61">
        <v>2430000</v>
      </c>
      <c r="J158" s="61">
        <v>2500000</v>
      </c>
      <c r="K158" s="61"/>
    </row>
    <row r="159" spans="1:11" s="48" customFormat="1" ht="38.25">
      <c r="A159" s="100"/>
      <c r="B159" s="37" t="s">
        <v>797</v>
      </c>
      <c r="C159" s="38" t="s">
        <v>798</v>
      </c>
      <c r="D159" s="39">
        <f>D160</f>
        <v>0</v>
      </c>
      <c r="E159" s="39">
        <f t="shared" si="55"/>
        <v>0</v>
      </c>
      <c r="F159" s="39">
        <f t="shared" si="55"/>
        <v>0</v>
      </c>
      <c r="G159" s="39">
        <f t="shared" si="55"/>
        <v>0</v>
      </c>
      <c r="H159" s="39">
        <f t="shared" si="55"/>
        <v>0</v>
      </c>
      <c r="I159" s="39">
        <f t="shared" si="56"/>
        <v>3000000</v>
      </c>
      <c r="J159" s="39">
        <f t="shared" si="56"/>
        <v>3000000</v>
      </c>
      <c r="K159" s="58"/>
    </row>
    <row r="160" spans="1:11" s="48" customFormat="1">
      <c r="A160" s="109"/>
      <c r="B160" s="87"/>
      <c r="C160" s="42" t="s">
        <v>231</v>
      </c>
      <c r="D160" s="43">
        <f>D161</f>
        <v>0</v>
      </c>
      <c r="E160" s="43">
        <f t="shared" si="55"/>
        <v>0</v>
      </c>
      <c r="F160" s="43">
        <f t="shared" si="55"/>
        <v>0</v>
      </c>
      <c r="G160" s="43">
        <f t="shared" si="55"/>
        <v>0</v>
      </c>
      <c r="H160" s="43">
        <f t="shared" si="55"/>
        <v>0</v>
      </c>
      <c r="I160" s="43">
        <f t="shared" si="56"/>
        <v>3000000</v>
      </c>
      <c r="J160" s="43">
        <f t="shared" si="56"/>
        <v>3000000</v>
      </c>
      <c r="K160" s="58"/>
    </row>
    <row r="161" spans="1:14" s="40" customFormat="1" ht="12.75" customHeight="1">
      <c r="A161" s="110"/>
      <c r="B161" s="111"/>
      <c r="C161" s="112" t="s">
        <v>799</v>
      </c>
      <c r="D161" s="45">
        <v>0</v>
      </c>
      <c r="E161" s="45">
        <v>0</v>
      </c>
      <c r="F161" s="46">
        <v>0</v>
      </c>
      <c r="G161" s="46">
        <v>0</v>
      </c>
      <c r="H161" s="46">
        <v>0</v>
      </c>
      <c r="I161" s="61">
        <v>3000000</v>
      </c>
      <c r="J161" s="61">
        <f>I161</f>
        <v>3000000</v>
      </c>
      <c r="K161" s="61"/>
    </row>
    <row r="162" spans="1:14" s="18" customFormat="1" ht="12.75">
      <c r="A162" s="33">
        <v>758</v>
      </c>
      <c r="B162" s="81"/>
      <c r="C162" s="66" t="s">
        <v>105</v>
      </c>
      <c r="D162" s="36">
        <v>1750000</v>
      </c>
      <c r="E162" s="36">
        <f t="shared" ref="E162:J164" si="57">E163</f>
        <v>932582.98</v>
      </c>
      <c r="F162" s="36">
        <f t="shared" si="57"/>
        <v>0</v>
      </c>
      <c r="G162" s="36">
        <f t="shared" si="57"/>
        <v>0</v>
      </c>
      <c r="H162" s="36">
        <f t="shared" si="57"/>
        <v>0</v>
      </c>
      <c r="I162" s="36">
        <f>I163</f>
        <v>2250000</v>
      </c>
      <c r="J162" s="36">
        <f>J163</f>
        <v>3000000</v>
      </c>
      <c r="K162" s="28"/>
    </row>
    <row r="163" spans="1:14" s="18" customFormat="1" ht="12.75">
      <c r="A163" s="73"/>
      <c r="B163" s="37">
        <v>75818</v>
      </c>
      <c r="C163" s="38" t="s">
        <v>257</v>
      </c>
      <c r="D163" s="39">
        <v>1750000</v>
      </c>
      <c r="E163" s="39">
        <f t="shared" si="57"/>
        <v>932582.98</v>
      </c>
      <c r="F163" s="39">
        <f t="shared" si="57"/>
        <v>0</v>
      </c>
      <c r="G163" s="39">
        <f t="shared" si="57"/>
        <v>0</v>
      </c>
      <c r="H163" s="39">
        <f t="shared" si="57"/>
        <v>0</v>
      </c>
      <c r="I163" s="39">
        <f>I164</f>
        <v>2250000</v>
      </c>
      <c r="J163" s="39">
        <f>J164</f>
        <v>3000000</v>
      </c>
      <c r="K163" s="28"/>
    </row>
    <row r="164" spans="1:14" s="40" customFormat="1" ht="12.75">
      <c r="A164" s="73"/>
      <c r="B164" s="34"/>
      <c r="C164" s="42" t="s">
        <v>231</v>
      </c>
      <c r="D164" s="43">
        <v>1750000</v>
      </c>
      <c r="E164" s="43">
        <f t="shared" si="57"/>
        <v>932582.98</v>
      </c>
      <c r="F164" s="43">
        <f t="shared" si="57"/>
        <v>0</v>
      </c>
      <c r="G164" s="43">
        <f t="shared" si="57"/>
        <v>0</v>
      </c>
      <c r="H164" s="43">
        <f t="shared" si="57"/>
        <v>0</v>
      </c>
      <c r="I164" s="43">
        <f>I165</f>
        <v>2250000</v>
      </c>
      <c r="J164" s="43">
        <f t="shared" si="57"/>
        <v>3000000</v>
      </c>
      <c r="K164" s="61"/>
      <c r="N164" s="61"/>
    </row>
    <row r="165" spans="1:14" s="40" customFormat="1" ht="12.75">
      <c r="A165" s="73"/>
      <c r="B165" s="113"/>
      <c r="C165" s="114" t="s">
        <v>258</v>
      </c>
      <c r="D165" s="65">
        <v>1750000</v>
      </c>
      <c r="E165" s="65">
        <f>'Wykonanie 8 2025'!I545+'Wykonanie 8 2025'!I546+'Wykonanie 8 2025'!I547+'Wykonanie 8 2025'!I548</f>
        <v>932582.98</v>
      </c>
      <c r="F165" s="55"/>
      <c r="G165" s="55">
        <v>0</v>
      </c>
      <c r="H165" s="55">
        <v>0</v>
      </c>
      <c r="I165" s="55">
        <v>2250000</v>
      </c>
      <c r="J165" s="55">
        <v>3000000</v>
      </c>
      <c r="K165" s="61"/>
    </row>
    <row r="166" spans="1:14" s="48" customFormat="1" ht="12.75">
      <c r="A166" s="33">
        <v>801</v>
      </c>
      <c r="B166" s="34"/>
      <c r="C166" s="66" t="s">
        <v>114</v>
      </c>
      <c r="D166" s="36">
        <v>59520230</v>
      </c>
      <c r="E166" s="36">
        <f>E167+E194+E217+E244+E271+E300+E315+E335+E339+E352+E355</f>
        <v>63410895.229999997</v>
      </c>
      <c r="F166" s="36">
        <f t="shared" ref="F166:J166" si="58">F167+F194+F217+F244+F271+F300+F315+F335+F339+F352+F355</f>
        <v>59055774.250000007</v>
      </c>
      <c r="G166" s="36">
        <f t="shared" si="58"/>
        <v>139500.38</v>
      </c>
      <c r="H166" s="36">
        <f t="shared" si="58"/>
        <v>0</v>
      </c>
      <c r="I166" s="36">
        <f t="shared" si="58"/>
        <v>69542994.299999997</v>
      </c>
      <c r="J166" s="36">
        <f t="shared" si="58"/>
        <v>63384633.07</v>
      </c>
      <c r="K166" s="58"/>
    </row>
    <row r="167" spans="1:14" s="48" customFormat="1">
      <c r="A167" s="100"/>
      <c r="B167" s="37">
        <v>80102</v>
      </c>
      <c r="C167" s="38" t="s">
        <v>115</v>
      </c>
      <c r="D167" s="39">
        <v>11280467</v>
      </c>
      <c r="E167" s="39">
        <f t="shared" ref="E167:J167" si="59">E168+E170+E175+E178+E183+E189</f>
        <v>11402151.059999999</v>
      </c>
      <c r="F167" s="39">
        <f t="shared" si="59"/>
        <v>8981501.7100000009</v>
      </c>
      <c r="G167" s="39">
        <f t="shared" si="59"/>
        <v>74097.31</v>
      </c>
      <c r="H167" s="39">
        <f t="shared" si="59"/>
        <v>0</v>
      </c>
      <c r="I167" s="39">
        <f>I168+I170+I175+I178+I183+I189</f>
        <v>12758771</v>
      </c>
      <c r="J167" s="39">
        <f t="shared" si="59"/>
        <v>11675196</v>
      </c>
      <c r="K167" s="58"/>
    </row>
    <row r="168" spans="1:14" s="40" customFormat="1">
      <c r="A168" s="109"/>
      <c r="B168" s="115"/>
      <c r="C168" s="42" t="s">
        <v>234</v>
      </c>
      <c r="D168" s="43">
        <v>0</v>
      </c>
      <c r="E168" s="43">
        <f>E169</f>
        <v>0</v>
      </c>
      <c r="F168" s="43">
        <f>F169</f>
        <v>0</v>
      </c>
      <c r="G168" s="43"/>
      <c r="H168" s="43"/>
      <c r="I168" s="43">
        <f>I169</f>
        <v>0</v>
      </c>
      <c r="J168" s="43">
        <f>J169</f>
        <v>0</v>
      </c>
      <c r="K168" s="61"/>
    </row>
    <row r="169" spans="1:14" s="48" customFormat="1" ht="25.5">
      <c r="A169" s="110"/>
      <c r="B169" s="116"/>
      <c r="C169" s="44" t="s">
        <v>226</v>
      </c>
      <c r="D169" s="45">
        <v>0</v>
      </c>
      <c r="E169" s="45">
        <v>0</v>
      </c>
      <c r="F169" s="46">
        <v>0</v>
      </c>
      <c r="G169" s="46">
        <v>0</v>
      </c>
      <c r="H169" s="46">
        <v>0</v>
      </c>
      <c r="I169" s="46">
        <v>0</v>
      </c>
      <c r="J169" s="46">
        <v>0</v>
      </c>
      <c r="K169" s="58"/>
    </row>
    <row r="170" spans="1:14" s="40" customFormat="1">
      <c r="A170" s="109"/>
      <c r="B170" s="116"/>
      <c r="C170" s="117" t="s">
        <v>259</v>
      </c>
      <c r="D170" s="43">
        <v>2479696</v>
      </c>
      <c r="E170" s="43">
        <f>E171+E172+E173+E174</f>
        <v>2394199</v>
      </c>
      <c r="F170" s="43">
        <f>F172+F174</f>
        <v>0</v>
      </c>
      <c r="G170" s="43">
        <f>G172+G174</f>
        <v>0</v>
      </c>
      <c r="H170" s="43">
        <f>H172+H174</f>
        <v>0</v>
      </c>
      <c r="I170" s="43">
        <f>I171+I172+I173+I174</f>
        <v>2635770</v>
      </c>
      <c r="J170" s="43">
        <f>J171+J172+J173+J174</f>
        <v>2635770</v>
      </c>
      <c r="K170" s="61"/>
    </row>
    <row r="171" spans="1:14" s="48" customFormat="1" ht="12.75">
      <c r="A171" s="110"/>
      <c r="B171" s="116"/>
      <c r="C171" s="44" t="s">
        <v>708</v>
      </c>
      <c r="D171" s="45">
        <v>2205570</v>
      </c>
      <c r="E171" s="46">
        <f>'Wykonanie 8 2025'!I550+'Wykonanie 8 2025'!I551</f>
        <v>2205570</v>
      </c>
      <c r="F171" s="46">
        <v>1990738</v>
      </c>
      <c r="G171" s="46">
        <v>0</v>
      </c>
      <c r="H171" s="46">
        <v>0</v>
      </c>
      <c r="I171" s="46">
        <v>2130090</v>
      </c>
      <c r="J171" s="46">
        <f>I171</f>
        <v>2130090</v>
      </c>
      <c r="K171" s="58"/>
    </row>
    <row r="172" spans="1:14" s="48" customFormat="1" ht="16.5" customHeight="1">
      <c r="A172" s="110"/>
      <c r="B172" s="116"/>
      <c r="C172" s="44" t="s">
        <v>230</v>
      </c>
      <c r="D172" s="45">
        <v>57691</v>
      </c>
      <c r="E172" s="46">
        <f>'Wykonanie 8 2025'!I554+'Wykonanie 8 2025'!I559+'Wykonanie 8 2025'!I562</f>
        <v>50075</v>
      </c>
      <c r="F172" s="46">
        <v>0</v>
      </c>
      <c r="G172" s="46">
        <v>0</v>
      </c>
      <c r="H172" s="46">
        <v>0</v>
      </c>
      <c r="I172" s="46">
        <f>8651+45281+4383</f>
        <v>58315</v>
      </c>
      <c r="J172" s="46">
        <v>58315</v>
      </c>
      <c r="K172" s="58"/>
    </row>
    <row r="173" spans="1:14" s="48" customFormat="1" ht="12.75">
      <c r="A173" s="110"/>
      <c r="B173" s="116"/>
      <c r="C173" s="56" t="s">
        <v>260</v>
      </c>
      <c r="D173" s="45">
        <v>216435</v>
      </c>
      <c r="E173" s="46">
        <f>'Wykonanie 8 2025'!I587</f>
        <v>138554</v>
      </c>
      <c r="F173" s="46">
        <v>0</v>
      </c>
      <c r="G173" s="46">
        <v>0</v>
      </c>
      <c r="H173" s="46">
        <v>0</v>
      </c>
      <c r="I173" s="46">
        <v>447365</v>
      </c>
      <c r="J173" s="46">
        <v>447365</v>
      </c>
      <c r="K173" s="58"/>
    </row>
    <row r="174" spans="1:14" s="48" customFormat="1" ht="25.5">
      <c r="A174" s="110"/>
      <c r="B174" s="116"/>
      <c r="C174" s="44" t="s">
        <v>226</v>
      </c>
      <c r="D174" s="45">
        <v>0</v>
      </c>
      <c r="E174" s="46">
        <v>0</v>
      </c>
      <c r="F174" s="46">
        <v>0</v>
      </c>
      <c r="G174" s="46">
        <v>0</v>
      </c>
      <c r="H174" s="46">
        <v>0</v>
      </c>
      <c r="I174" s="46">
        <v>0</v>
      </c>
      <c r="J174" s="46">
        <f t="shared" ref="J174" si="60">I174</f>
        <v>0</v>
      </c>
      <c r="K174" s="58"/>
    </row>
    <row r="175" spans="1:14" s="48" customFormat="1">
      <c r="A175" s="109"/>
      <c r="B175" s="116"/>
      <c r="C175" s="42" t="s">
        <v>231</v>
      </c>
      <c r="D175" s="43">
        <v>6500</v>
      </c>
      <c r="E175" s="43">
        <f t="shared" ref="E175:J175" si="61">E176+E177</f>
        <v>6500</v>
      </c>
      <c r="F175" s="43">
        <f t="shared" si="61"/>
        <v>0</v>
      </c>
      <c r="G175" s="43">
        <f t="shared" si="61"/>
        <v>0</v>
      </c>
      <c r="H175" s="43">
        <f t="shared" si="61"/>
        <v>0</v>
      </c>
      <c r="I175" s="43">
        <f t="shared" si="61"/>
        <v>6500</v>
      </c>
      <c r="J175" s="43">
        <f t="shared" si="61"/>
        <v>7000</v>
      </c>
      <c r="K175" s="58"/>
    </row>
    <row r="176" spans="1:14" s="48" customFormat="1" ht="15" customHeight="1">
      <c r="A176" s="110"/>
      <c r="B176" s="116"/>
      <c r="C176" s="44" t="s">
        <v>230</v>
      </c>
      <c r="D176" s="45">
        <v>0</v>
      </c>
      <c r="E176" s="46">
        <v>0</v>
      </c>
      <c r="F176" s="46">
        <v>0</v>
      </c>
      <c r="G176" s="46">
        <v>0</v>
      </c>
      <c r="H176" s="46">
        <v>0</v>
      </c>
      <c r="I176" s="46">
        <v>0</v>
      </c>
      <c r="J176" s="46">
        <v>0</v>
      </c>
      <c r="K176" s="355"/>
    </row>
    <row r="177" spans="1:13" s="48" customFormat="1" ht="25.5">
      <c r="A177" s="110"/>
      <c r="B177" s="116"/>
      <c r="C177" s="44" t="s">
        <v>226</v>
      </c>
      <c r="D177" s="45">
        <v>6500</v>
      </c>
      <c r="E177" s="46">
        <f>'Wykonanie 8 2025'!I581</f>
        <v>6500</v>
      </c>
      <c r="F177" s="46">
        <v>0</v>
      </c>
      <c r="G177" s="46">
        <v>0</v>
      </c>
      <c r="H177" s="46">
        <v>0</v>
      </c>
      <c r="I177" s="46">
        <v>6500</v>
      </c>
      <c r="J177" s="46">
        <v>7000</v>
      </c>
      <c r="K177" s="355"/>
    </row>
    <row r="178" spans="1:13" s="48" customFormat="1" ht="12.75">
      <c r="A178" s="110"/>
      <c r="B178" s="116"/>
      <c r="C178" s="120" t="s">
        <v>261</v>
      </c>
      <c r="D178" s="121">
        <v>2424078</v>
      </c>
      <c r="E178" s="122">
        <f>E179+E180+E181+E182</f>
        <v>2424078</v>
      </c>
      <c r="F178" s="122">
        <f>F179+F180+F181+F182</f>
        <v>2520587</v>
      </c>
      <c r="G178" s="122">
        <f>G179+G181+G182</f>
        <v>0</v>
      </c>
      <c r="H178" s="122">
        <f>H179</f>
        <v>0</v>
      </c>
      <c r="I178" s="122">
        <f>I179+I180+I181+I182</f>
        <v>2554121</v>
      </c>
      <c r="J178" s="122">
        <f>J179+J180+J181+J182</f>
        <v>2517609</v>
      </c>
      <c r="K178" s="355"/>
    </row>
    <row r="179" spans="1:13" s="48" customFormat="1" ht="12" customHeight="1">
      <c r="A179" s="110"/>
      <c r="B179" s="116"/>
      <c r="C179" s="56" t="s">
        <v>230</v>
      </c>
      <c r="D179" s="45">
        <v>582897</v>
      </c>
      <c r="E179" s="57">
        <f>'Wykonanie 8 2025'!I556+'Wykonanie 8 2025'!I558+'Wykonanie 8 2025'!I560+'Wykonanie 8 2025'!I563+'Wykonanie 8 2025'!I584</f>
        <v>577739</v>
      </c>
      <c r="F179" s="57">
        <f>2356767-F180</f>
        <v>563948</v>
      </c>
      <c r="G179" s="57">
        <v>0</v>
      </c>
      <c r="H179" s="57">
        <v>0</v>
      </c>
      <c r="I179" s="57">
        <f>2385423-I180</f>
        <v>601064</v>
      </c>
      <c r="J179" s="57">
        <v>595411</v>
      </c>
      <c r="K179" s="355"/>
      <c r="M179" s="48">
        <f>J179/I179</f>
        <v>0.99059501151291707</v>
      </c>
    </row>
    <row r="180" spans="1:13" s="48" customFormat="1" ht="12.75">
      <c r="A180" s="110"/>
      <c r="B180" s="116"/>
      <c r="C180" s="56" t="s">
        <v>262</v>
      </c>
      <c r="D180" s="45">
        <v>1682519</v>
      </c>
      <c r="E180" s="57">
        <f>'Wykonanie 8 2025'!I588+'Wykonanie 8 2025'!I591</f>
        <v>1682519</v>
      </c>
      <c r="F180" s="57">
        <f>1657243+135576</f>
        <v>1792819</v>
      </c>
      <c r="G180" s="57">
        <v>0</v>
      </c>
      <c r="H180" s="57">
        <v>0</v>
      </c>
      <c r="I180" s="57">
        <f>1643493+140866</f>
        <v>1784359</v>
      </c>
      <c r="J180" s="57">
        <v>1754000</v>
      </c>
      <c r="K180" s="355"/>
      <c r="L180" s="58"/>
      <c r="M180" s="48">
        <f>1226274+141743+33435</f>
        <v>1401452</v>
      </c>
    </row>
    <row r="181" spans="1:13" s="48" customFormat="1" ht="12.75">
      <c r="A181" s="110"/>
      <c r="B181" s="116"/>
      <c r="C181" s="56" t="s">
        <v>263</v>
      </c>
      <c r="D181" s="45">
        <v>1500</v>
      </c>
      <c r="E181" s="57">
        <f>'Wykonanie 8 2025'!I553</f>
        <v>1500</v>
      </c>
      <c r="F181" s="57">
        <v>1500</v>
      </c>
      <c r="G181" s="57">
        <v>0</v>
      </c>
      <c r="H181" s="57">
        <v>0</v>
      </c>
      <c r="I181" s="57">
        <v>1500</v>
      </c>
      <c r="J181" s="57">
        <v>1000</v>
      </c>
      <c r="K181" s="355"/>
      <c r="M181" s="48">
        <f>M180*1.03</f>
        <v>1443495.56</v>
      </c>
    </row>
    <row r="182" spans="1:13" s="48" customFormat="1" ht="25.5">
      <c r="A182" s="124"/>
      <c r="B182" s="116"/>
      <c r="C182" s="56" t="s">
        <v>226</v>
      </c>
      <c r="D182" s="45">
        <v>157162</v>
      </c>
      <c r="E182" s="57">
        <f>'Wykonanie 8 2025'!I566+'Wykonanie 8 2025'!I570+'Wykonanie 8 2025'!I573+'Wykonanie 8 2025'!I576+'Wykonanie 8 2025'!I580</f>
        <v>162320</v>
      </c>
      <c r="F182" s="57">
        <v>162320</v>
      </c>
      <c r="G182" s="57">
        <v>0</v>
      </c>
      <c r="H182" s="57">
        <v>0</v>
      </c>
      <c r="I182" s="57">
        <v>167198</v>
      </c>
      <c r="J182" s="57">
        <v>167198</v>
      </c>
      <c r="K182" s="355"/>
      <c r="M182" s="48">
        <f>M181+30269+97954+25200+16802</f>
        <v>1613720.56</v>
      </c>
    </row>
    <row r="183" spans="1:13" s="48" customFormat="1" ht="12.75">
      <c r="A183" s="110"/>
      <c r="B183" s="116"/>
      <c r="C183" s="120" t="s">
        <v>116</v>
      </c>
      <c r="D183" s="121">
        <v>6370193</v>
      </c>
      <c r="E183" s="121">
        <f>E184+E185+E186+E187+E188</f>
        <v>6460814.8099999996</v>
      </c>
      <c r="F183" s="121">
        <f>F184+F185+F186+F187</f>
        <v>6460914.71</v>
      </c>
      <c r="G183" s="121">
        <f>G184+G186+G187+G188</f>
        <v>74097.31</v>
      </c>
      <c r="H183" s="122">
        <f>H184</f>
        <v>0</v>
      </c>
      <c r="I183" s="121">
        <f>I184+I185+I186+I187</f>
        <v>7562380</v>
      </c>
      <c r="J183" s="121">
        <f>J184+J185+J186+J187</f>
        <v>6514817</v>
      </c>
      <c r="K183" s="355"/>
    </row>
    <row r="184" spans="1:13" s="40" customFormat="1" ht="14.25" customHeight="1">
      <c r="A184" s="110"/>
      <c r="B184" s="116"/>
      <c r="C184" s="56" t="s">
        <v>230</v>
      </c>
      <c r="D184" s="45">
        <v>1731381</v>
      </c>
      <c r="E184" s="57">
        <f>'Wykonanie 8 2025'!I555+'Wykonanie 8 2025'!I557+'Wykonanie 8 2025'!I561+'Wykonanie 8 2025'!I564+'Wykonanie 8 2025'!I583</f>
        <v>1738997</v>
      </c>
      <c r="F184" s="57">
        <v>1738997</v>
      </c>
      <c r="G184" s="57">
        <v>43388.31</v>
      </c>
      <c r="H184" s="57">
        <v>0</v>
      </c>
      <c r="I184" s="57">
        <v>2127840</v>
      </c>
      <c r="J184" s="57">
        <v>1780000</v>
      </c>
      <c r="K184" s="356"/>
      <c r="L184" s="61"/>
      <c r="M184" s="61">
        <f>M182*0.172</f>
        <v>277559.93631999998</v>
      </c>
    </row>
    <row r="185" spans="1:13" s="40" customFormat="1" ht="12.75">
      <c r="A185" s="110"/>
      <c r="B185" s="116"/>
      <c r="C185" s="56" t="s">
        <v>262</v>
      </c>
      <c r="D185" s="45">
        <v>3906390</v>
      </c>
      <c r="E185" s="57">
        <f>'Wykonanie 8 2025'!I589+'Wykonanie 8 2025'!I590</f>
        <v>3984271</v>
      </c>
      <c r="F185" s="57">
        <v>3984271</v>
      </c>
      <c r="G185" s="57">
        <v>163186.53</v>
      </c>
      <c r="H185" s="57">
        <v>0</v>
      </c>
      <c r="I185" s="57">
        <v>4443894</v>
      </c>
      <c r="J185" s="57">
        <v>3936000</v>
      </c>
      <c r="K185" s="357"/>
      <c r="M185" s="40">
        <f>L180*0.172</f>
        <v>0</v>
      </c>
    </row>
    <row r="186" spans="1:13" s="40" customFormat="1" ht="12.75">
      <c r="A186" s="110"/>
      <c r="B186" s="116"/>
      <c r="C186" s="56" t="s">
        <v>263</v>
      </c>
      <c r="D186" s="45">
        <v>1500</v>
      </c>
      <c r="E186" s="57">
        <f>'Wykonanie 8 2025'!I552</f>
        <v>3774.42</v>
      </c>
      <c r="F186" s="57">
        <v>3774.42</v>
      </c>
      <c r="G186" s="57">
        <v>0</v>
      </c>
      <c r="H186" s="57">
        <v>0</v>
      </c>
      <c r="I186" s="57">
        <v>4000</v>
      </c>
      <c r="J186" s="57">
        <v>1500</v>
      </c>
      <c r="K186" s="356"/>
      <c r="M186" s="61">
        <f>SUM(M184:M185)</f>
        <v>277559.93631999998</v>
      </c>
    </row>
    <row r="187" spans="1:13" s="40" customFormat="1" ht="25.5">
      <c r="A187" s="110"/>
      <c r="B187" s="125"/>
      <c r="C187" s="56" t="s">
        <v>226</v>
      </c>
      <c r="D187" s="45">
        <v>730922</v>
      </c>
      <c r="E187" s="57">
        <f>'Wykonanie 8 2025'!I565+'Wykonanie 8 2025'!I568+'Wykonanie 8 2025'!I569+'Wykonanie 8 2025'!I571+'Wykonanie 8 2025'!I572+'Wykonanie 8 2025'!I575+'Wykonanie 8 2025'!I578+'Wykonanie 8 2025'!I579+'Wykonanie 8 2025'!I582</f>
        <v>733772.39</v>
      </c>
      <c r="F187" s="57">
        <v>733872.29</v>
      </c>
      <c r="G187" s="57">
        <v>30709</v>
      </c>
      <c r="H187" s="57">
        <v>0</v>
      </c>
      <c r="I187" s="57">
        <v>986646</v>
      </c>
      <c r="J187" s="57">
        <v>797317</v>
      </c>
      <c r="K187" s="356"/>
      <c r="L187" s="61"/>
      <c r="M187" s="61">
        <f>M186+L180</f>
        <v>277559.93631999998</v>
      </c>
    </row>
    <row r="188" spans="1:13" s="40" customFormat="1" ht="12.75">
      <c r="A188" s="110"/>
      <c r="B188" s="126"/>
      <c r="C188" s="56" t="s">
        <v>264</v>
      </c>
      <c r="D188" s="45">
        <v>0</v>
      </c>
      <c r="E188" s="57">
        <v>0</v>
      </c>
      <c r="F188" s="57">
        <v>0</v>
      </c>
      <c r="G188" s="57">
        <v>0</v>
      </c>
      <c r="H188" s="57">
        <v>0</v>
      </c>
      <c r="I188" s="57">
        <v>0</v>
      </c>
      <c r="J188" s="57">
        <v>0</v>
      </c>
      <c r="K188" s="356"/>
    </row>
    <row r="189" spans="1:13" s="48" customFormat="1" ht="12.75">
      <c r="A189" s="110"/>
      <c r="B189" s="116"/>
      <c r="C189" s="120" t="s">
        <v>265</v>
      </c>
      <c r="D189" s="121">
        <v>0</v>
      </c>
      <c r="E189" s="121">
        <f t="shared" ref="E189:J189" si="62">E190+E191+E192+E193</f>
        <v>116559.25</v>
      </c>
      <c r="F189" s="121">
        <f t="shared" si="62"/>
        <v>0</v>
      </c>
      <c r="G189" s="121">
        <f t="shared" si="62"/>
        <v>0</v>
      </c>
      <c r="H189" s="121">
        <f t="shared" si="62"/>
        <v>0</v>
      </c>
      <c r="I189" s="121">
        <f t="shared" si="62"/>
        <v>0</v>
      </c>
      <c r="J189" s="121">
        <f t="shared" si="62"/>
        <v>0</v>
      </c>
      <c r="K189" s="355"/>
    </row>
    <row r="190" spans="1:13" s="40" customFormat="1" ht="25.5">
      <c r="A190" s="110"/>
      <c r="B190" s="116"/>
      <c r="C190" s="56" t="s">
        <v>230</v>
      </c>
      <c r="D190" s="45">
        <v>0</v>
      </c>
      <c r="E190" s="57">
        <f>'Wykonanie 8 2025'!I585+'Wykonanie 8 2025'!I592</f>
        <v>26163.899999999998</v>
      </c>
      <c r="F190" s="57">
        <v>0</v>
      </c>
      <c r="G190" s="57">
        <v>0</v>
      </c>
      <c r="H190" s="57">
        <v>0</v>
      </c>
      <c r="I190" s="57">
        <v>0</v>
      </c>
      <c r="J190" s="57">
        <v>0</v>
      </c>
      <c r="K190" s="356"/>
    </row>
    <row r="191" spans="1:13" s="40" customFormat="1" ht="12.75">
      <c r="A191" s="110"/>
      <c r="B191" s="116"/>
      <c r="C191" s="56" t="s">
        <v>262</v>
      </c>
      <c r="D191" s="45">
        <v>0</v>
      </c>
      <c r="E191" s="57">
        <f>'Wykonanie 8 2025'!I586</f>
        <v>80605.350000000006</v>
      </c>
      <c r="F191" s="57">
        <v>0</v>
      </c>
      <c r="G191" s="57">
        <v>0</v>
      </c>
      <c r="H191" s="57">
        <v>0</v>
      </c>
      <c r="I191" s="57">
        <v>0</v>
      </c>
      <c r="J191" s="57">
        <v>0</v>
      </c>
      <c r="K191" s="357"/>
    </row>
    <row r="192" spans="1:13" s="40" customFormat="1" ht="12.75">
      <c r="A192" s="110"/>
      <c r="B192" s="116"/>
      <c r="C192" s="56" t="s">
        <v>263</v>
      </c>
      <c r="D192" s="45">
        <v>0</v>
      </c>
      <c r="E192" s="57">
        <v>0</v>
      </c>
      <c r="F192" s="57">
        <v>0</v>
      </c>
      <c r="G192" s="57">
        <v>0</v>
      </c>
      <c r="H192" s="57">
        <v>0</v>
      </c>
      <c r="I192" s="57">
        <v>0</v>
      </c>
      <c r="J192" s="57">
        <v>0</v>
      </c>
      <c r="K192" s="356"/>
    </row>
    <row r="193" spans="1:12" s="40" customFormat="1" ht="25.5">
      <c r="A193" s="110"/>
      <c r="B193" s="125"/>
      <c r="C193" s="56" t="s">
        <v>226</v>
      </c>
      <c r="D193" s="45">
        <v>0</v>
      </c>
      <c r="E193" s="57">
        <f>'Wykonanie 8 2025'!I574+'Wykonanie 8 2025'!I577+'Wykonanie 8 2025'!I593</f>
        <v>9790</v>
      </c>
      <c r="F193" s="57">
        <v>0</v>
      </c>
      <c r="G193" s="57">
        <v>0</v>
      </c>
      <c r="H193" s="57">
        <v>0</v>
      </c>
      <c r="I193" s="57">
        <v>0</v>
      </c>
      <c r="J193" s="57">
        <v>0</v>
      </c>
      <c r="K193" s="356"/>
    </row>
    <row r="194" spans="1:12" s="48" customFormat="1">
      <c r="A194" s="100"/>
      <c r="B194" s="37" t="s">
        <v>266</v>
      </c>
      <c r="C194" s="38" t="s">
        <v>267</v>
      </c>
      <c r="D194" s="39">
        <v>346052</v>
      </c>
      <c r="E194" s="39">
        <f t="shared" ref="E194:J194" si="63">E195+E199+E202+E207+E212</f>
        <v>349563.71</v>
      </c>
      <c r="F194" s="39">
        <f t="shared" si="63"/>
        <v>367307</v>
      </c>
      <c r="G194" s="39">
        <f t="shared" si="63"/>
        <v>0</v>
      </c>
      <c r="H194" s="39">
        <f t="shared" si="63"/>
        <v>0</v>
      </c>
      <c r="I194" s="39">
        <f t="shared" si="63"/>
        <v>516638</v>
      </c>
      <c r="J194" s="39">
        <f t="shared" si="63"/>
        <v>457975</v>
      </c>
      <c r="K194" s="58"/>
    </row>
    <row r="195" spans="1:12" s="40" customFormat="1">
      <c r="A195" s="109"/>
      <c r="B195" s="116"/>
      <c r="C195" s="117" t="s">
        <v>259</v>
      </c>
      <c r="D195" s="43">
        <v>577</v>
      </c>
      <c r="E195" s="43">
        <f>E196+E197</f>
        <v>577</v>
      </c>
      <c r="F195" s="43">
        <f>F196+F198</f>
        <v>0</v>
      </c>
      <c r="G195" s="43">
        <f>G196+G198</f>
        <v>0</v>
      </c>
      <c r="H195" s="43">
        <f>H196+H198</f>
        <v>0</v>
      </c>
      <c r="I195" s="43">
        <f>I196+I197+I198</f>
        <v>888</v>
      </c>
      <c r="J195" s="43">
        <f>J196+J197</f>
        <v>888</v>
      </c>
      <c r="K195" s="61"/>
    </row>
    <row r="196" spans="1:12" s="48" customFormat="1" ht="15" customHeight="1">
      <c r="A196" s="110"/>
      <c r="B196" s="116"/>
      <c r="C196" s="44" t="s">
        <v>230</v>
      </c>
      <c r="D196" s="45">
        <v>96</v>
      </c>
      <c r="E196" s="46">
        <f>'Wykonanie 8 2025'!I595+'Wykonanie 8 2025'!I599</f>
        <v>96</v>
      </c>
      <c r="F196" s="46">
        <v>0</v>
      </c>
      <c r="G196" s="46">
        <v>0</v>
      </c>
      <c r="H196" s="46">
        <v>0</v>
      </c>
      <c r="I196" s="46">
        <f>129+18</f>
        <v>147</v>
      </c>
      <c r="J196" s="46">
        <v>147</v>
      </c>
      <c r="K196" s="58"/>
    </row>
    <row r="197" spans="1:12" s="48" customFormat="1" ht="12.75">
      <c r="A197" s="110"/>
      <c r="B197" s="116"/>
      <c r="C197" s="56" t="s">
        <v>262</v>
      </c>
      <c r="D197" s="45">
        <v>481</v>
      </c>
      <c r="E197" s="46">
        <f>'Wykonanie 8 2025'!I610</f>
        <v>481</v>
      </c>
      <c r="F197" s="46">
        <v>0</v>
      </c>
      <c r="G197" s="46">
        <v>0</v>
      </c>
      <c r="H197" s="46">
        <v>0</v>
      </c>
      <c r="I197" s="46">
        <v>741</v>
      </c>
      <c r="J197" s="46">
        <v>741</v>
      </c>
      <c r="K197" s="58"/>
    </row>
    <row r="198" spans="1:12" s="48" customFormat="1" ht="25.5">
      <c r="A198" s="110"/>
      <c r="B198" s="116"/>
      <c r="C198" s="44" t="s">
        <v>226</v>
      </c>
      <c r="D198" s="45">
        <v>0</v>
      </c>
      <c r="E198" s="46">
        <v>0</v>
      </c>
      <c r="F198" s="46">
        <v>0</v>
      </c>
      <c r="G198" s="46">
        <v>0</v>
      </c>
      <c r="H198" s="46">
        <v>0</v>
      </c>
      <c r="I198" s="46">
        <v>0</v>
      </c>
      <c r="J198" s="46">
        <f t="shared" ref="J198" si="64">I198</f>
        <v>0</v>
      </c>
      <c r="K198" s="58"/>
    </row>
    <row r="199" spans="1:12" s="48" customFormat="1">
      <c r="A199" s="109"/>
      <c r="B199" s="116"/>
      <c r="C199" s="42" t="s">
        <v>231</v>
      </c>
      <c r="D199" s="43">
        <v>0</v>
      </c>
      <c r="E199" s="43">
        <f t="shared" ref="E199:J199" si="65">E200+E201</f>
        <v>0</v>
      </c>
      <c r="F199" s="43">
        <f t="shared" si="65"/>
        <v>0</v>
      </c>
      <c r="G199" s="43">
        <f t="shared" si="65"/>
        <v>0</v>
      </c>
      <c r="H199" s="43">
        <f t="shared" si="65"/>
        <v>0</v>
      </c>
      <c r="I199" s="43">
        <f t="shared" si="65"/>
        <v>0</v>
      </c>
      <c r="J199" s="43">
        <f t="shared" si="65"/>
        <v>0</v>
      </c>
      <c r="K199" s="58"/>
    </row>
    <row r="200" spans="1:12" s="48" customFormat="1" ht="18.75" customHeight="1">
      <c r="A200" s="110"/>
      <c r="B200" s="116"/>
      <c r="C200" s="44" t="s">
        <v>230</v>
      </c>
      <c r="D200" s="45">
        <v>0</v>
      </c>
      <c r="E200" s="46">
        <v>0</v>
      </c>
      <c r="F200" s="46">
        <v>0</v>
      </c>
      <c r="G200" s="46">
        <v>0</v>
      </c>
      <c r="H200" s="46">
        <v>0</v>
      </c>
      <c r="I200" s="46">
        <v>0</v>
      </c>
      <c r="J200" s="46">
        <v>0</v>
      </c>
      <c r="K200" s="355"/>
    </row>
    <row r="201" spans="1:12" s="48" customFormat="1" ht="25.5">
      <c r="A201" s="110"/>
      <c r="B201" s="116"/>
      <c r="C201" s="44" t="s">
        <v>226</v>
      </c>
      <c r="D201" s="45">
        <v>0</v>
      </c>
      <c r="E201" s="46">
        <v>0</v>
      </c>
      <c r="F201" s="46">
        <v>0</v>
      </c>
      <c r="G201" s="46">
        <v>0</v>
      </c>
      <c r="H201" s="46">
        <v>0</v>
      </c>
      <c r="I201" s="46">
        <v>0</v>
      </c>
      <c r="J201" s="46">
        <v>0</v>
      </c>
      <c r="K201" s="355"/>
    </row>
    <row r="202" spans="1:12" s="48" customFormat="1" ht="12.75">
      <c r="A202" s="110"/>
      <c r="B202" s="116"/>
      <c r="C202" s="120" t="s">
        <v>261</v>
      </c>
      <c r="D202" s="121">
        <v>59396</v>
      </c>
      <c r="E202" s="122">
        <f>E203+E204+E205+E206</f>
        <v>59396</v>
      </c>
      <c r="F202" s="122">
        <f>F203+F204+F205+F206</f>
        <v>81228</v>
      </c>
      <c r="G202" s="122">
        <f>G203+G205+G206</f>
        <v>0</v>
      </c>
      <c r="H202" s="122">
        <f>H203</f>
        <v>0</v>
      </c>
      <c r="I202" s="122">
        <f>I203+I204+I205+I206</f>
        <v>139050</v>
      </c>
      <c r="J202" s="122">
        <f>J203+J204+J205+J206</f>
        <v>139050</v>
      </c>
      <c r="K202" s="355"/>
    </row>
    <row r="203" spans="1:12" s="48" customFormat="1" ht="15.75" customHeight="1">
      <c r="A203" s="110"/>
      <c r="B203" s="116"/>
      <c r="C203" s="56" t="s">
        <v>230</v>
      </c>
      <c r="D203" s="45">
        <v>9756</v>
      </c>
      <c r="E203" s="57">
        <f>'Wykonanie 8 2025'!I597+'Wykonanie 8 2025'!I600+'Wykonanie 8 2025'!I608</f>
        <v>9593</v>
      </c>
      <c r="F203" s="57">
        <f>77820-F204</f>
        <v>12617</v>
      </c>
      <c r="G203" s="57">
        <v>0</v>
      </c>
      <c r="H203" s="57">
        <v>0</v>
      </c>
      <c r="I203" s="57">
        <f>131093-I204</f>
        <v>22812</v>
      </c>
      <c r="J203" s="57">
        <v>22812</v>
      </c>
      <c r="K203" s="355"/>
    </row>
    <row r="204" spans="1:12" s="48" customFormat="1" ht="12.75">
      <c r="A204" s="110"/>
      <c r="B204" s="116"/>
      <c r="C204" s="56" t="s">
        <v>262</v>
      </c>
      <c r="D204" s="45">
        <v>46395</v>
      </c>
      <c r="E204" s="57">
        <f>'Wykonanie 8 2025'!I612+'Wykonanie 8 2025'!I614</f>
        <v>46395</v>
      </c>
      <c r="F204" s="57">
        <f>61853+3350</f>
        <v>65203</v>
      </c>
      <c r="G204" s="57">
        <v>0</v>
      </c>
      <c r="H204" s="57">
        <v>0</v>
      </c>
      <c r="I204" s="57">
        <v>108281</v>
      </c>
      <c r="J204" s="57">
        <v>108281</v>
      </c>
      <c r="K204" s="355"/>
      <c r="L204" s="58"/>
    </row>
    <row r="205" spans="1:12" s="48" customFormat="1" ht="12.75">
      <c r="A205" s="110"/>
      <c r="B205" s="116"/>
      <c r="C205" s="56" t="s">
        <v>263</v>
      </c>
      <c r="D205" s="45">
        <v>0</v>
      </c>
      <c r="E205" s="57">
        <v>0</v>
      </c>
      <c r="F205" s="57">
        <v>0</v>
      </c>
      <c r="G205" s="57">
        <v>0</v>
      </c>
      <c r="H205" s="57">
        <v>0</v>
      </c>
      <c r="I205" s="57">
        <v>0</v>
      </c>
      <c r="J205" s="57">
        <v>0</v>
      </c>
      <c r="K205" s="355"/>
    </row>
    <row r="206" spans="1:12" s="48" customFormat="1" ht="25.5">
      <c r="A206" s="124"/>
      <c r="B206" s="116"/>
      <c r="C206" s="56" t="s">
        <v>226</v>
      </c>
      <c r="D206" s="45">
        <v>3245</v>
      </c>
      <c r="E206" s="57">
        <f>'Wykonanie 8 2025'!I605</f>
        <v>3408</v>
      </c>
      <c r="F206" s="57">
        <v>3408</v>
      </c>
      <c r="G206" s="57">
        <v>0</v>
      </c>
      <c r="H206" s="57">
        <v>0</v>
      </c>
      <c r="I206" s="57">
        <v>7957</v>
      </c>
      <c r="J206" s="57">
        <v>7957</v>
      </c>
      <c r="K206" s="355"/>
      <c r="L206" s="58"/>
    </row>
    <row r="207" spans="1:12" s="48" customFormat="1" ht="12.75">
      <c r="A207" s="110"/>
      <c r="B207" s="116"/>
      <c r="C207" s="120" t="s">
        <v>116</v>
      </c>
      <c r="D207" s="121">
        <v>286079</v>
      </c>
      <c r="E207" s="121">
        <f t="shared" ref="E207:J207" si="66">E208+E209+E210+E211</f>
        <v>286079</v>
      </c>
      <c r="F207" s="121">
        <f t="shared" si="66"/>
        <v>286079</v>
      </c>
      <c r="G207" s="121">
        <f t="shared" si="66"/>
        <v>0</v>
      </c>
      <c r="H207" s="121">
        <f t="shared" si="66"/>
        <v>0</v>
      </c>
      <c r="I207" s="121">
        <f t="shared" si="66"/>
        <v>376700</v>
      </c>
      <c r="J207" s="121">
        <f t="shared" si="66"/>
        <v>318037</v>
      </c>
      <c r="K207" s="355"/>
    </row>
    <row r="208" spans="1:12" s="40" customFormat="1" ht="16.5" customHeight="1">
      <c r="A208" s="110"/>
      <c r="B208" s="116"/>
      <c r="C208" s="56" t="s">
        <v>230</v>
      </c>
      <c r="D208" s="45">
        <v>47878</v>
      </c>
      <c r="E208" s="57">
        <f>'Wykonanie 8 2025'!I596+'Wykonanie 8 2025'!I598+'Wykonanie 8 2025'!I607</f>
        <v>47878</v>
      </c>
      <c r="F208" s="57">
        <v>47878</v>
      </c>
      <c r="G208" s="57">
        <v>0</v>
      </c>
      <c r="H208" s="57">
        <v>0</v>
      </c>
      <c r="I208" s="57">
        <v>57978</v>
      </c>
      <c r="J208" s="57">
        <v>49500</v>
      </c>
      <c r="K208" s="356"/>
    </row>
    <row r="209" spans="1:12" s="40" customFormat="1" ht="12.75">
      <c r="A209" s="110"/>
      <c r="B209" s="116"/>
      <c r="C209" s="56" t="s">
        <v>262</v>
      </c>
      <c r="D209" s="45">
        <v>218582</v>
      </c>
      <c r="E209" s="57">
        <f>'Wykonanie 8 2025'!I611+'Wykonanie 8 2025'!I613</f>
        <v>218582</v>
      </c>
      <c r="F209" s="57">
        <v>218582</v>
      </c>
      <c r="G209" s="57">
        <v>0</v>
      </c>
      <c r="H209" s="57">
        <v>0</v>
      </c>
      <c r="I209" s="57">
        <v>295025</v>
      </c>
      <c r="J209" s="57">
        <v>249000</v>
      </c>
      <c r="K209" s="356"/>
    </row>
    <row r="210" spans="1:12" s="40" customFormat="1" ht="12.75">
      <c r="A210" s="110"/>
      <c r="B210" s="116"/>
      <c r="C210" s="56" t="s">
        <v>263</v>
      </c>
      <c r="D210" s="45">
        <v>0</v>
      </c>
      <c r="E210" s="57">
        <v>0</v>
      </c>
      <c r="F210" s="57">
        <v>0</v>
      </c>
      <c r="G210" s="57">
        <v>0</v>
      </c>
      <c r="H210" s="57">
        <v>0</v>
      </c>
      <c r="I210" s="57">
        <v>0</v>
      </c>
      <c r="J210" s="57">
        <v>0</v>
      </c>
      <c r="K210" s="356"/>
    </row>
    <row r="211" spans="1:12" s="40" customFormat="1" ht="25.5">
      <c r="A211" s="110"/>
      <c r="B211" s="125"/>
      <c r="C211" s="56" t="s">
        <v>226</v>
      </c>
      <c r="D211" s="45">
        <v>19619</v>
      </c>
      <c r="E211" s="57">
        <f>'Wykonanie 8 2025'!I601+'Wykonanie 8 2025'!I602+'Wykonanie 8 2025'!I603+'Wykonanie 8 2025'!I604+'Wykonanie 8 2025'!I606</f>
        <v>19619</v>
      </c>
      <c r="F211" s="57">
        <v>19619</v>
      </c>
      <c r="G211" s="57">
        <v>0</v>
      </c>
      <c r="H211" s="57">
        <v>0</v>
      </c>
      <c r="I211" s="57">
        <v>23697</v>
      </c>
      <c r="J211" s="57">
        <v>19537</v>
      </c>
      <c r="K211" s="356"/>
    </row>
    <row r="212" spans="1:12" s="48" customFormat="1" ht="12.75">
      <c r="A212" s="110"/>
      <c r="B212" s="116"/>
      <c r="C212" s="120" t="s">
        <v>265</v>
      </c>
      <c r="D212" s="121">
        <v>0</v>
      </c>
      <c r="E212" s="121">
        <f t="shared" ref="E212:J212" si="67">E213+E214+E215+E216</f>
        <v>3511.7100000000005</v>
      </c>
      <c r="F212" s="121">
        <f t="shared" si="67"/>
        <v>0</v>
      </c>
      <c r="G212" s="121">
        <f t="shared" si="67"/>
        <v>0</v>
      </c>
      <c r="H212" s="121">
        <f t="shared" si="67"/>
        <v>0</v>
      </c>
      <c r="I212" s="121">
        <f t="shared" si="67"/>
        <v>0</v>
      </c>
      <c r="J212" s="121">
        <f t="shared" si="67"/>
        <v>0</v>
      </c>
      <c r="K212" s="355"/>
    </row>
    <row r="213" spans="1:12" s="40" customFormat="1" ht="25.5">
      <c r="A213" s="110"/>
      <c r="B213" s="116"/>
      <c r="C213" s="56" t="s">
        <v>230</v>
      </c>
      <c r="D213" s="45">
        <v>0</v>
      </c>
      <c r="E213" s="57">
        <f>'Wykonanie 8 2025'!I615</f>
        <v>530.22</v>
      </c>
      <c r="F213" s="57">
        <v>0</v>
      </c>
      <c r="G213" s="57">
        <v>0</v>
      </c>
      <c r="H213" s="57">
        <v>0</v>
      </c>
      <c r="I213" s="57">
        <v>0</v>
      </c>
      <c r="J213" s="57">
        <v>0</v>
      </c>
      <c r="K213" s="356"/>
    </row>
    <row r="214" spans="1:12" s="40" customFormat="1" ht="12.75">
      <c r="A214" s="110"/>
      <c r="B214" s="116"/>
      <c r="C214" s="56" t="s">
        <v>262</v>
      </c>
      <c r="D214" s="45">
        <v>0</v>
      </c>
      <c r="E214" s="57">
        <f>'Wykonanie 8 2025'!I609</f>
        <v>2828.34</v>
      </c>
      <c r="F214" s="57">
        <v>0</v>
      </c>
      <c r="G214" s="57">
        <v>0</v>
      </c>
      <c r="H214" s="57">
        <v>0</v>
      </c>
      <c r="I214" s="57">
        <v>0</v>
      </c>
      <c r="J214" s="57">
        <v>0</v>
      </c>
      <c r="K214" s="357"/>
    </row>
    <row r="215" spans="1:12" s="40" customFormat="1" ht="12.75">
      <c r="A215" s="110"/>
      <c r="B215" s="116"/>
      <c r="C215" s="56" t="s">
        <v>263</v>
      </c>
      <c r="D215" s="45">
        <v>0</v>
      </c>
      <c r="E215" s="57">
        <v>0</v>
      </c>
      <c r="F215" s="57">
        <v>0</v>
      </c>
      <c r="G215" s="57">
        <v>0</v>
      </c>
      <c r="H215" s="57">
        <v>0</v>
      </c>
      <c r="I215" s="57">
        <v>0</v>
      </c>
      <c r="J215" s="57">
        <v>0</v>
      </c>
      <c r="K215" s="356"/>
    </row>
    <row r="216" spans="1:12" s="40" customFormat="1" ht="25.5">
      <c r="A216" s="110"/>
      <c r="B216" s="125"/>
      <c r="C216" s="56" t="s">
        <v>226</v>
      </c>
      <c r="D216" s="45">
        <v>0</v>
      </c>
      <c r="E216" s="57">
        <f>'Wykonanie 8 2025'!I616</f>
        <v>153.15</v>
      </c>
      <c r="F216" s="57">
        <v>0</v>
      </c>
      <c r="G216" s="57">
        <v>0</v>
      </c>
      <c r="H216" s="57">
        <v>0</v>
      </c>
      <c r="I216" s="57">
        <v>0</v>
      </c>
      <c r="J216" s="57">
        <v>0</v>
      </c>
      <c r="K216" s="356"/>
    </row>
    <row r="217" spans="1:12" s="48" customFormat="1" ht="12.75">
      <c r="A217" s="110"/>
      <c r="B217" s="37" t="s">
        <v>120</v>
      </c>
      <c r="C217" s="38" t="s">
        <v>121</v>
      </c>
      <c r="D217" s="39">
        <v>18655888</v>
      </c>
      <c r="E217" s="39">
        <f t="shared" ref="E217:I217" si="68">E218+E223+E226+E229+E234+E239</f>
        <v>19020979.920000002</v>
      </c>
      <c r="F217" s="39">
        <f t="shared" si="68"/>
        <v>19713575.920000002</v>
      </c>
      <c r="G217" s="39">
        <f t="shared" si="68"/>
        <v>8012</v>
      </c>
      <c r="H217" s="39">
        <f t="shared" si="68"/>
        <v>0</v>
      </c>
      <c r="I217" s="39">
        <f t="shared" si="68"/>
        <v>21119462</v>
      </c>
      <c r="J217" s="39">
        <f>J218+J223+J226+J229+J234</f>
        <v>18272679</v>
      </c>
      <c r="K217" s="58"/>
      <c r="L217" s="127"/>
    </row>
    <row r="218" spans="1:12" s="48" customFormat="1" ht="12.75">
      <c r="A218" s="110"/>
      <c r="B218" s="128"/>
      <c r="C218" s="117" t="s">
        <v>259</v>
      </c>
      <c r="D218" s="43">
        <v>911296</v>
      </c>
      <c r="E218" s="43">
        <f>E219+E220+E221+E222</f>
        <v>518830</v>
      </c>
      <c r="F218" s="43">
        <f>SUM(F219:F222)</f>
        <v>0</v>
      </c>
      <c r="G218" s="43">
        <f>SUM(G219:G222)</f>
        <v>0</v>
      </c>
      <c r="H218" s="43">
        <f>SUM(H219:H222)</f>
        <v>0</v>
      </c>
      <c r="I218" s="43">
        <f>SUM(I219:I222)</f>
        <v>1477228</v>
      </c>
      <c r="J218" s="43">
        <f>J219+J220+J221+J222</f>
        <v>1477228</v>
      </c>
      <c r="K218" s="58"/>
    </row>
    <row r="219" spans="1:12" s="48" customFormat="1" ht="12.75">
      <c r="A219" s="110"/>
      <c r="B219" s="129"/>
      <c r="C219" s="130" t="s">
        <v>268</v>
      </c>
      <c r="D219" s="45">
        <v>0</v>
      </c>
      <c r="E219" s="45">
        <v>0</v>
      </c>
      <c r="F219" s="46">
        <v>0</v>
      </c>
      <c r="G219" s="46">
        <v>0</v>
      </c>
      <c r="H219" s="46">
        <v>0</v>
      </c>
      <c r="I219" s="46">
        <v>0</v>
      </c>
      <c r="J219" s="46">
        <v>0</v>
      </c>
      <c r="K219" s="58"/>
    </row>
    <row r="220" spans="1:12" s="48" customFormat="1" ht="12.75">
      <c r="A220" s="110"/>
      <c r="B220" s="129"/>
      <c r="C220" s="131" t="s">
        <v>263</v>
      </c>
      <c r="D220" s="45">
        <v>1000</v>
      </c>
      <c r="E220" s="45">
        <f>'Wykonanie 8 2025'!I618</f>
        <v>500</v>
      </c>
      <c r="F220" s="46">
        <v>0</v>
      </c>
      <c r="G220" s="46">
        <v>0</v>
      </c>
      <c r="H220" s="46">
        <v>0</v>
      </c>
      <c r="I220" s="46">
        <v>2000</v>
      </c>
      <c r="J220" s="46">
        <v>2000</v>
      </c>
      <c r="K220" s="58"/>
    </row>
    <row r="221" spans="1:12" s="48" customFormat="1" ht="12.75">
      <c r="A221" s="110"/>
      <c r="B221" s="129"/>
      <c r="C221" s="56" t="s">
        <v>262</v>
      </c>
      <c r="D221" s="45">
        <v>760469</v>
      </c>
      <c r="E221" s="45">
        <f>'Wykonanie 8 2025'!I666</f>
        <v>463532</v>
      </c>
      <c r="F221" s="46">
        <v>0</v>
      </c>
      <c r="G221" s="46">
        <v>0</v>
      </c>
      <c r="H221" s="46">
        <v>0</v>
      </c>
      <c r="I221" s="46">
        <v>1317383</v>
      </c>
      <c r="J221" s="46">
        <v>1317383</v>
      </c>
      <c r="K221" s="58"/>
    </row>
    <row r="222" spans="1:12" s="48" customFormat="1" ht="14.25" customHeight="1">
      <c r="A222" s="110"/>
      <c r="B222" s="129"/>
      <c r="C222" s="44" t="s">
        <v>230</v>
      </c>
      <c r="D222" s="45">
        <v>149827</v>
      </c>
      <c r="E222" s="45">
        <f>'Wykonanie 8 2025'!I620+'Wykonanie 8 2025'!I626+'Wykonanie 8 2025'!I628</f>
        <v>54798</v>
      </c>
      <c r="F222" s="46">
        <v>0</v>
      </c>
      <c r="G222" s="46">
        <v>0</v>
      </c>
      <c r="H222" s="46">
        <v>0</v>
      </c>
      <c r="I222" s="46">
        <f>107904+43709+6232</f>
        <v>157845</v>
      </c>
      <c r="J222" s="46">
        <v>157845</v>
      </c>
      <c r="K222" s="58"/>
    </row>
    <row r="223" spans="1:12" s="48" customFormat="1" ht="12.75">
      <c r="A223" s="110"/>
      <c r="B223" s="129"/>
      <c r="C223" s="42" t="s">
        <v>231</v>
      </c>
      <c r="D223" s="43">
        <v>15000</v>
      </c>
      <c r="E223" s="43">
        <f t="shared" ref="E223:J223" si="69">SUM(E224:E225)</f>
        <v>15000</v>
      </c>
      <c r="F223" s="43">
        <f t="shared" si="69"/>
        <v>0</v>
      </c>
      <c r="G223" s="43">
        <f t="shared" si="69"/>
        <v>0</v>
      </c>
      <c r="H223" s="43">
        <f t="shared" si="69"/>
        <v>0</v>
      </c>
      <c r="I223" s="43">
        <f t="shared" si="69"/>
        <v>15000</v>
      </c>
      <c r="J223" s="43">
        <f t="shared" si="69"/>
        <v>15000</v>
      </c>
      <c r="K223" s="58"/>
    </row>
    <row r="224" spans="1:12" s="48" customFormat="1" ht="15" customHeight="1">
      <c r="A224" s="110"/>
      <c r="B224" s="129"/>
      <c r="C224" s="44" t="s">
        <v>230</v>
      </c>
      <c r="D224" s="45">
        <v>0</v>
      </c>
      <c r="E224" s="45">
        <v>0</v>
      </c>
      <c r="F224" s="46">
        <v>0</v>
      </c>
      <c r="G224" s="46">
        <v>0</v>
      </c>
      <c r="H224" s="46">
        <v>0</v>
      </c>
      <c r="I224" s="46">
        <v>0</v>
      </c>
      <c r="J224" s="46">
        <v>0</v>
      </c>
      <c r="K224" s="58"/>
    </row>
    <row r="225" spans="1:14" s="48" customFormat="1" ht="25.5">
      <c r="A225" s="110"/>
      <c r="B225" s="129"/>
      <c r="C225" s="44" t="s">
        <v>226</v>
      </c>
      <c r="D225" s="45">
        <v>15000</v>
      </c>
      <c r="E225" s="45">
        <f>'Wykonanie 8 2025'!I658</f>
        <v>15000</v>
      </c>
      <c r="F225" s="46">
        <v>0</v>
      </c>
      <c r="G225" s="46">
        <v>0</v>
      </c>
      <c r="H225" s="46">
        <v>0</v>
      </c>
      <c r="I225" s="46">
        <v>15000</v>
      </c>
      <c r="J225" s="46">
        <f>I225</f>
        <v>15000</v>
      </c>
      <c r="K225" s="58"/>
    </row>
    <row r="226" spans="1:14" s="48" customFormat="1" ht="12.75">
      <c r="A226" s="110"/>
      <c r="B226" s="129"/>
      <c r="C226" s="42" t="s">
        <v>234</v>
      </c>
      <c r="D226" s="43">
        <v>0</v>
      </c>
      <c r="E226" s="43">
        <f t="shared" ref="E226:J226" si="70">SUM(E227:E228)</f>
        <v>0</v>
      </c>
      <c r="F226" s="43">
        <f t="shared" si="70"/>
        <v>0</v>
      </c>
      <c r="G226" s="43">
        <f t="shared" si="70"/>
        <v>0</v>
      </c>
      <c r="H226" s="43">
        <f t="shared" si="70"/>
        <v>0</v>
      </c>
      <c r="I226" s="43">
        <f t="shared" si="70"/>
        <v>0</v>
      </c>
      <c r="J226" s="43">
        <f t="shared" si="70"/>
        <v>0</v>
      </c>
      <c r="K226" s="58"/>
    </row>
    <row r="227" spans="1:14" s="48" customFormat="1" ht="13.5" customHeight="1">
      <c r="A227" s="110"/>
      <c r="B227" s="129"/>
      <c r="C227" s="44" t="s">
        <v>230</v>
      </c>
      <c r="D227" s="45">
        <v>0</v>
      </c>
      <c r="E227" s="45">
        <v>0</v>
      </c>
      <c r="F227" s="46">
        <v>0</v>
      </c>
      <c r="G227" s="46">
        <v>0</v>
      </c>
      <c r="H227" s="46">
        <v>0</v>
      </c>
      <c r="I227" s="46">
        <v>0</v>
      </c>
      <c r="J227" s="46">
        <v>0</v>
      </c>
      <c r="K227" s="58"/>
    </row>
    <row r="228" spans="1:14" s="48" customFormat="1" ht="25.5">
      <c r="A228" s="110"/>
      <c r="B228" s="129"/>
      <c r="C228" s="44" t="s">
        <v>226</v>
      </c>
      <c r="D228" s="45">
        <v>0</v>
      </c>
      <c r="E228" s="45">
        <v>0</v>
      </c>
      <c r="F228" s="46">
        <v>0</v>
      </c>
      <c r="G228" s="46">
        <v>0</v>
      </c>
      <c r="H228" s="46">
        <v>0</v>
      </c>
      <c r="I228" s="46">
        <v>0</v>
      </c>
      <c r="J228" s="46">
        <v>0</v>
      </c>
      <c r="K228" s="58"/>
    </row>
    <row r="229" spans="1:14" s="48" customFormat="1" ht="12.75">
      <c r="A229" s="110"/>
      <c r="B229" s="129"/>
      <c r="C229" s="132" t="s">
        <v>269</v>
      </c>
      <c r="D229" s="121">
        <v>8705006</v>
      </c>
      <c r="E229" s="122">
        <f>E230+E231+E232+E233</f>
        <v>8833268</v>
      </c>
      <c r="F229" s="122">
        <f>F230+F231+F232+F233</f>
        <v>9222747</v>
      </c>
      <c r="G229" s="122">
        <f>G230</f>
        <v>8012</v>
      </c>
      <c r="H229" s="122">
        <f>H230</f>
        <v>0</v>
      </c>
      <c r="I229" s="122">
        <f>I230+I231+I232+I233</f>
        <v>8803499</v>
      </c>
      <c r="J229" s="122">
        <f>J230+J231+J232+J233</f>
        <v>6653456</v>
      </c>
      <c r="K229" s="58"/>
    </row>
    <row r="230" spans="1:14" s="48" customFormat="1" ht="16.5" customHeight="1">
      <c r="A230" s="110"/>
      <c r="B230" s="129"/>
      <c r="C230" s="56" t="s">
        <v>230</v>
      </c>
      <c r="D230" s="45">
        <v>2141762</v>
      </c>
      <c r="E230" s="57">
        <f>'Wykonanie 8 2025'!I621+'Wykonanie 8 2025'!I623+'Wykonanie 8 2025'!I625+'Wykonanie 8 2025'!I629+'Wykonanie 8 2025'!I631+'Wykonanie 8 2025'!I663</f>
        <v>2140880</v>
      </c>
      <c r="F230" s="57">
        <f>8339325-F231</f>
        <v>2270482</v>
      </c>
      <c r="G230" s="57">
        <f>137665-G231</f>
        <v>8012</v>
      </c>
      <c r="H230" s="57"/>
      <c r="I230" s="57">
        <f>7809506-I231</f>
        <v>2132953</v>
      </c>
      <c r="J230" s="57">
        <v>213253</v>
      </c>
      <c r="K230" s="58"/>
    </row>
    <row r="231" spans="1:14" s="48" customFormat="1" ht="12.75">
      <c r="A231" s="110"/>
      <c r="B231" s="129"/>
      <c r="C231" s="56" t="s">
        <v>262</v>
      </c>
      <c r="D231" s="45">
        <v>5850647</v>
      </c>
      <c r="E231" s="57">
        <f>'Wykonanie 8 2025'!I668+'Wykonanie 8 2025'!I669</f>
        <v>5880931</v>
      </c>
      <c r="F231" s="57">
        <f>5618913+449930</f>
        <v>6068843</v>
      </c>
      <c r="G231" s="57">
        <f>129653</f>
        <v>129653</v>
      </c>
      <c r="H231" s="133">
        <v>0</v>
      </c>
      <c r="I231" s="57">
        <f>5210134+466419</f>
        <v>5676553</v>
      </c>
      <c r="J231" s="57">
        <v>5678300</v>
      </c>
      <c r="K231" s="58"/>
    </row>
    <row r="232" spans="1:14" s="48" customFormat="1" ht="12.75">
      <c r="A232" s="110"/>
      <c r="B232" s="129"/>
      <c r="C232" s="134" t="s">
        <v>263</v>
      </c>
      <c r="D232" s="45">
        <v>500</v>
      </c>
      <c r="E232" s="57">
        <f>'Wykonanie 8 2025'!I617</f>
        <v>500</v>
      </c>
      <c r="F232" s="57">
        <v>18314</v>
      </c>
      <c r="G232" s="57">
        <v>0</v>
      </c>
      <c r="H232" s="57">
        <v>0</v>
      </c>
      <c r="I232" s="57">
        <v>500</v>
      </c>
      <c r="J232" s="57">
        <v>500</v>
      </c>
      <c r="K232" s="58"/>
    </row>
    <row r="233" spans="1:14" s="48" customFormat="1" ht="25.5">
      <c r="A233" s="110"/>
      <c r="B233" s="129"/>
      <c r="C233" s="56" t="s">
        <v>226</v>
      </c>
      <c r="D233" s="45">
        <v>712097</v>
      </c>
      <c r="E233" s="57">
        <f>'Wykonanie 8 2025'!I634+'Wykonanie 8 2025'!I638+'Wykonanie 8 2025'!I640+'Wykonanie 8 2025'!I642+'Wykonanie 8 2025'!I644+'Wykonanie 8 2025'!I645+'Wykonanie 8 2025'!I649+'Wykonanie 8 2025'!I652+'Wykonanie 8 2025'!I653+'Wykonanie 8 2025'!I654+'Wykonanie 8 2025'!I656+'Wykonanie 8 2025'!I660</f>
        <v>810957</v>
      </c>
      <c r="F233" s="57">
        <v>865108</v>
      </c>
      <c r="G233" s="57">
        <v>0</v>
      </c>
      <c r="H233" s="57">
        <v>0</v>
      </c>
      <c r="I233" s="57">
        <v>993493</v>
      </c>
      <c r="J233" s="57">
        <v>761403</v>
      </c>
      <c r="K233" s="58"/>
      <c r="N233" s="58"/>
    </row>
    <row r="234" spans="1:14" s="48" customFormat="1" ht="12.75">
      <c r="A234" s="110"/>
      <c r="B234" s="129"/>
      <c r="C234" s="120" t="s">
        <v>123</v>
      </c>
      <c r="D234" s="121">
        <v>9024586</v>
      </c>
      <c r="E234" s="122">
        <f>E235+E236+E237+E238</f>
        <v>9423441.9199999999</v>
      </c>
      <c r="F234" s="122">
        <f>F235+F236+F237+F238</f>
        <v>10260388.92</v>
      </c>
      <c r="G234" s="122">
        <f>G235+G237+G238</f>
        <v>0</v>
      </c>
      <c r="H234" s="122">
        <f>H235</f>
        <v>0</v>
      </c>
      <c r="I234" s="122">
        <f>I235+I236+I237+I238</f>
        <v>10823735</v>
      </c>
      <c r="J234" s="122">
        <f>J235+J236+J237+J238</f>
        <v>10126995</v>
      </c>
      <c r="K234" s="58"/>
      <c r="N234" s="58"/>
    </row>
    <row r="235" spans="1:14" s="48" customFormat="1" ht="13.5" customHeight="1">
      <c r="A235" s="110"/>
      <c r="B235" s="129"/>
      <c r="C235" s="56" t="s">
        <v>230</v>
      </c>
      <c r="D235" s="377">
        <v>2597576</v>
      </c>
      <c r="E235" s="57">
        <f>'Wykonanie 8 2025'!I622+'Wykonanie 8 2025'!I624+'Wykonanie 8 2025'!I627+'Wykonanie 8 2025'!I630+'Wykonanie 8 2025'!I632+'Wykonanie 8 2025'!I662</f>
        <v>2674433</v>
      </c>
      <c r="F235" s="57">
        <v>2772798</v>
      </c>
      <c r="G235" s="57">
        <v>0</v>
      </c>
      <c r="H235" s="47">
        <v>0</v>
      </c>
      <c r="I235" s="57">
        <v>2957155</v>
      </c>
      <c r="J235" s="57">
        <v>2780525</v>
      </c>
      <c r="K235" s="58"/>
      <c r="L235" s="58"/>
      <c r="M235" s="58"/>
    </row>
    <row r="236" spans="1:14" s="48" customFormat="1" ht="12.75">
      <c r="A236" s="110"/>
      <c r="B236" s="129"/>
      <c r="C236" s="56" t="s">
        <v>262</v>
      </c>
      <c r="D236" s="377">
        <v>5536501</v>
      </c>
      <c r="E236" s="57">
        <f>'Wykonanie 8 2025'!I667+'Wykonanie 8 2025'!I670</f>
        <v>5798664</v>
      </c>
      <c r="F236" s="57">
        <f>5980000+413265</f>
        <v>6393265</v>
      </c>
      <c r="G236" s="57">
        <v>0</v>
      </c>
      <c r="H236" s="47">
        <v>0</v>
      </c>
      <c r="I236" s="57">
        <f>6274200+490660</f>
        <v>6764860</v>
      </c>
      <c r="J236" s="57">
        <v>6431660</v>
      </c>
      <c r="K236" s="58"/>
    </row>
    <row r="237" spans="1:14" s="48" customFormat="1" ht="12.75">
      <c r="A237" s="110"/>
      <c r="B237" s="129"/>
      <c r="C237" s="134" t="s">
        <v>263</v>
      </c>
      <c r="D237" s="377">
        <v>1500</v>
      </c>
      <c r="E237" s="57">
        <f>'Wykonanie 8 2025'!I619</f>
        <v>3800</v>
      </c>
      <c r="F237" s="57">
        <v>5500</v>
      </c>
      <c r="G237" s="57">
        <v>0</v>
      </c>
      <c r="H237" s="47">
        <v>0</v>
      </c>
      <c r="I237" s="57">
        <v>7100</v>
      </c>
      <c r="J237" s="57">
        <v>1500</v>
      </c>
      <c r="K237" s="58"/>
    </row>
    <row r="238" spans="1:14" s="48" customFormat="1" ht="25.5">
      <c r="A238" s="110"/>
      <c r="B238" s="135"/>
      <c r="C238" s="56" t="s">
        <v>226</v>
      </c>
      <c r="D238" s="377">
        <v>889009</v>
      </c>
      <c r="E238" s="57">
        <f>'Wykonanie 8 2025'!I633+'Wykonanie 8 2025'!I636+'Wykonanie 8 2025'!I637+'Wykonanie 8 2025'!I639+'Wykonanie 8 2025'!I641+'Wykonanie 8 2025'!I643+'Wykonanie 8 2025'!I646+'Wykonanie 8 2025'!I648+'Wykonanie 8 2025'!I651+'Wykonanie 8 2025'!I655+'Wykonanie 8 2025'!I657+'Wykonanie 8 2025'!I659+'Wykonanie 8 2025'!I661</f>
        <v>946544.92</v>
      </c>
      <c r="F238" s="57">
        <f>7482090.92-F236</f>
        <v>1088825.92</v>
      </c>
      <c r="G238" s="57">
        <v>0</v>
      </c>
      <c r="H238" s="47">
        <v>0</v>
      </c>
      <c r="I238" s="57">
        <f>7859480-I236</f>
        <v>1094620</v>
      </c>
      <c r="J238" s="57">
        <v>913310</v>
      </c>
      <c r="K238" s="58"/>
      <c r="N238" s="58"/>
    </row>
    <row r="239" spans="1:14" s="48" customFormat="1" ht="12.75">
      <c r="A239" s="110"/>
      <c r="B239" s="129"/>
      <c r="C239" s="120" t="s">
        <v>265</v>
      </c>
      <c r="D239" s="121">
        <v>0</v>
      </c>
      <c r="E239" s="121">
        <f t="shared" ref="E239:J239" si="71">E240+E241+E242+E243</f>
        <v>230440</v>
      </c>
      <c r="F239" s="121">
        <f t="shared" si="71"/>
        <v>230440</v>
      </c>
      <c r="G239" s="121">
        <f t="shared" si="71"/>
        <v>0</v>
      </c>
      <c r="H239" s="121">
        <f t="shared" si="71"/>
        <v>0</v>
      </c>
      <c r="I239" s="121">
        <f t="shared" si="71"/>
        <v>0</v>
      </c>
      <c r="J239" s="121">
        <f t="shared" si="71"/>
        <v>0</v>
      </c>
      <c r="K239" s="58"/>
    </row>
    <row r="240" spans="1:14" s="48" customFormat="1" ht="25.5">
      <c r="A240" s="110"/>
      <c r="B240" s="129"/>
      <c r="C240" s="56" t="s">
        <v>230</v>
      </c>
      <c r="D240" s="377">
        <v>0</v>
      </c>
      <c r="E240" s="57">
        <f>'Wykonanie 8 2025'!I664+'Wykonanie 8 2025'!I672</f>
        <v>73106.8</v>
      </c>
      <c r="F240" s="57">
        <f>E240</f>
        <v>73106.8</v>
      </c>
      <c r="G240" s="57">
        <v>0</v>
      </c>
      <c r="H240" s="57">
        <v>0</v>
      </c>
      <c r="I240" s="57">
        <v>0</v>
      </c>
      <c r="J240" s="57">
        <v>0</v>
      </c>
      <c r="K240" s="58"/>
      <c r="L240" s="58"/>
    </row>
    <row r="241" spans="1:13" s="48" customFormat="1" ht="12.75">
      <c r="A241" s="110"/>
      <c r="B241" s="129"/>
      <c r="C241" s="56" t="s">
        <v>262</v>
      </c>
      <c r="D241" s="377">
        <v>0</v>
      </c>
      <c r="E241" s="57">
        <f>'Wykonanie 8 2025'!I665</f>
        <v>142544</v>
      </c>
      <c r="F241" s="57">
        <f t="shared" ref="F241:F243" si="72">E241</f>
        <v>142544</v>
      </c>
      <c r="G241" s="57">
        <v>0</v>
      </c>
      <c r="H241" s="57">
        <v>0</v>
      </c>
      <c r="I241" s="57">
        <v>0</v>
      </c>
      <c r="J241" s="57">
        <v>0</v>
      </c>
      <c r="K241" s="58"/>
    </row>
    <row r="242" spans="1:13" s="48" customFormat="1" ht="12.75">
      <c r="A242" s="110"/>
      <c r="B242" s="129"/>
      <c r="C242" s="134" t="s">
        <v>263</v>
      </c>
      <c r="D242" s="377">
        <v>0</v>
      </c>
      <c r="E242" s="57">
        <v>0</v>
      </c>
      <c r="F242" s="57">
        <f t="shared" si="72"/>
        <v>0</v>
      </c>
      <c r="G242" s="57">
        <v>0</v>
      </c>
      <c r="H242" s="57">
        <v>0</v>
      </c>
      <c r="I242" s="57">
        <v>0</v>
      </c>
      <c r="J242" s="57">
        <v>0</v>
      </c>
      <c r="K242" s="58"/>
    </row>
    <row r="243" spans="1:13" s="48" customFormat="1" ht="25.5">
      <c r="A243" s="110"/>
      <c r="B243" s="135"/>
      <c r="C243" s="56" t="s">
        <v>226</v>
      </c>
      <c r="D243" s="377">
        <v>0</v>
      </c>
      <c r="E243" s="57">
        <f>'Wykonanie 8 2025'!I647+'Wykonanie 8 2025'!I650+'Wykonanie 8 2025'!I673+'Wykonanie 8 2025'!I671</f>
        <v>14789.199999999999</v>
      </c>
      <c r="F243" s="57">
        <f t="shared" si="72"/>
        <v>14789.199999999999</v>
      </c>
      <c r="G243" s="57">
        <v>0</v>
      </c>
      <c r="H243" s="57">
        <v>0</v>
      </c>
      <c r="I243" s="57">
        <v>0</v>
      </c>
      <c r="J243" s="57">
        <v>0</v>
      </c>
      <c r="K243" s="58"/>
    </row>
    <row r="244" spans="1:13" s="48" customFormat="1" ht="12.75">
      <c r="A244" s="110"/>
      <c r="B244" s="37" t="s">
        <v>126</v>
      </c>
      <c r="C244" s="38" t="s">
        <v>127</v>
      </c>
      <c r="D244" s="39">
        <v>5979375</v>
      </c>
      <c r="E244" s="39">
        <f>E245+E250+E253+E256+E261+E266</f>
        <v>6155872</v>
      </c>
      <c r="F244" s="39">
        <f t="shared" ref="F244:J244" si="73">F245+F250+F253+F256+F261+F266</f>
        <v>6808722</v>
      </c>
      <c r="G244" s="39">
        <f t="shared" si="73"/>
        <v>3434</v>
      </c>
      <c r="H244" s="39">
        <f t="shared" si="73"/>
        <v>0</v>
      </c>
      <c r="I244" s="39">
        <f t="shared" si="73"/>
        <v>7612287</v>
      </c>
      <c r="J244" s="39">
        <f t="shared" si="73"/>
        <v>6571268</v>
      </c>
      <c r="K244" s="58"/>
      <c r="M244" s="127"/>
    </row>
    <row r="245" spans="1:13" s="48" customFormat="1" ht="12.75">
      <c r="A245" s="110"/>
      <c r="B245" s="128"/>
      <c r="C245" s="117" t="s">
        <v>259</v>
      </c>
      <c r="D245" s="43">
        <v>1055872</v>
      </c>
      <c r="E245" s="43">
        <f>E246+E247+E248+E249</f>
        <v>1023888</v>
      </c>
      <c r="F245" s="43">
        <f>F246+F249+F247</f>
        <v>840330</v>
      </c>
      <c r="G245" s="43">
        <f>G246+G249+G247</f>
        <v>0</v>
      </c>
      <c r="H245" s="43">
        <f>H246+H249+H247</f>
        <v>0</v>
      </c>
      <c r="I245" s="43">
        <f>I246+I247+I248+I249</f>
        <v>1335964</v>
      </c>
      <c r="J245" s="43">
        <f>J246+J247+J248+J249</f>
        <v>1335964</v>
      </c>
      <c r="K245" s="58"/>
    </row>
    <row r="246" spans="1:13" s="48" customFormat="1" ht="12.75">
      <c r="A246" s="110"/>
      <c r="B246" s="129"/>
      <c r="C246" s="130" t="s">
        <v>268</v>
      </c>
      <c r="D246" s="45">
        <v>800498</v>
      </c>
      <c r="E246" s="45">
        <f>'Wykonanie 8 2025'!I676+'Wykonanie 8 2025'!I678</f>
        <v>803698</v>
      </c>
      <c r="F246" s="46">
        <v>840330</v>
      </c>
      <c r="G246" s="46">
        <v>0</v>
      </c>
      <c r="H246" s="46">
        <v>0</v>
      </c>
      <c r="I246" s="46">
        <f>899153+3600</f>
        <v>902753</v>
      </c>
      <c r="J246" s="46">
        <f>I246</f>
        <v>902753</v>
      </c>
      <c r="K246" s="58"/>
    </row>
    <row r="247" spans="1:13" s="48" customFormat="1" ht="12.75">
      <c r="A247" s="110"/>
      <c r="B247" s="129"/>
      <c r="C247" s="134" t="s">
        <v>263</v>
      </c>
      <c r="D247" s="45">
        <v>0</v>
      </c>
      <c r="E247" s="57">
        <v>0</v>
      </c>
      <c r="F247" s="57">
        <v>0</v>
      </c>
      <c r="G247" s="46">
        <v>0</v>
      </c>
      <c r="H247" s="46">
        <v>0</v>
      </c>
      <c r="I247" s="57">
        <v>0</v>
      </c>
      <c r="J247" s="57">
        <v>0</v>
      </c>
      <c r="K247" s="58"/>
    </row>
    <row r="248" spans="1:13" s="48" customFormat="1" ht="12.75">
      <c r="A248" s="110"/>
      <c r="B248" s="129"/>
      <c r="C248" s="56" t="s">
        <v>262</v>
      </c>
      <c r="D248" s="45">
        <v>223994</v>
      </c>
      <c r="E248" s="57">
        <f>'Wykonanie 8 2025'!I723</f>
        <v>197234</v>
      </c>
      <c r="F248" s="57">
        <v>0</v>
      </c>
      <c r="G248" s="46">
        <v>0</v>
      </c>
      <c r="H248" s="46">
        <v>0</v>
      </c>
      <c r="I248" s="57">
        <v>388678</v>
      </c>
      <c r="J248" s="57">
        <v>388678</v>
      </c>
      <c r="K248" s="58"/>
    </row>
    <row r="249" spans="1:13" s="48" customFormat="1" ht="12" customHeight="1">
      <c r="A249" s="110"/>
      <c r="B249" s="129"/>
      <c r="C249" s="44" t="s">
        <v>230</v>
      </c>
      <c r="D249" s="45">
        <v>31380</v>
      </c>
      <c r="E249" s="45">
        <f>'Wykonanie 8 2025'!I682+'Wykonanie 8 2025'!I686+'Wykonanie 8 2025'!I689</f>
        <v>22956</v>
      </c>
      <c r="F249" s="46">
        <v>0</v>
      </c>
      <c r="G249" s="46">
        <v>0</v>
      </c>
      <c r="H249" s="46">
        <v>0</v>
      </c>
      <c r="I249" s="46">
        <f>41566+2597+370</f>
        <v>44533</v>
      </c>
      <c r="J249" s="46">
        <v>44533</v>
      </c>
      <c r="K249" s="58"/>
    </row>
    <row r="250" spans="1:13" s="48" customFormat="1" ht="12.75">
      <c r="A250" s="110"/>
      <c r="B250" s="129"/>
      <c r="C250" s="42" t="s">
        <v>231</v>
      </c>
      <c r="D250" s="43">
        <v>2500</v>
      </c>
      <c r="E250" s="43">
        <f t="shared" ref="E250:J250" si="74">SUM(E251:E252)</f>
        <v>2500</v>
      </c>
      <c r="F250" s="43">
        <f t="shared" si="74"/>
        <v>0</v>
      </c>
      <c r="G250" s="43">
        <f t="shared" si="74"/>
        <v>0</v>
      </c>
      <c r="H250" s="43">
        <f t="shared" si="74"/>
        <v>0</v>
      </c>
      <c r="I250" s="43">
        <f t="shared" si="74"/>
        <v>2500</v>
      </c>
      <c r="J250" s="43">
        <f t="shared" si="74"/>
        <v>3000</v>
      </c>
      <c r="K250" s="58"/>
    </row>
    <row r="251" spans="1:13" s="48" customFormat="1" ht="13.5" customHeight="1">
      <c r="A251" s="110"/>
      <c r="B251" s="129"/>
      <c r="C251" s="44" t="s">
        <v>230</v>
      </c>
      <c r="D251" s="45">
        <v>0</v>
      </c>
      <c r="E251" s="45">
        <v>0</v>
      </c>
      <c r="F251" s="46">
        <v>0</v>
      </c>
      <c r="G251" s="46">
        <v>0</v>
      </c>
      <c r="H251" s="46">
        <v>0</v>
      </c>
      <c r="I251" s="46">
        <v>0</v>
      </c>
      <c r="J251" s="46">
        <v>0</v>
      </c>
      <c r="K251" s="58"/>
    </row>
    <row r="252" spans="1:13" s="48" customFormat="1" ht="25.5">
      <c r="A252" s="110"/>
      <c r="B252" s="129"/>
      <c r="C252" s="44" t="s">
        <v>226</v>
      </c>
      <c r="D252" s="45">
        <v>2500</v>
      </c>
      <c r="E252" s="45">
        <f>'Wykonanie 8 2025'!I715</f>
        <v>2500</v>
      </c>
      <c r="F252" s="46">
        <v>0</v>
      </c>
      <c r="G252" s="46">
        <v>0</v>
      </c>
      <c r="H252" s="46">
        <v>0</v>
      </c>
      <c r="I252" s="46">
        <v>2500</v>
      </c>
      <c r="J252" s="46">
        <v>3000</v>
      </c>
      <c r="K252" s="58"/>
    </row>
    <row r="253" spans="1:13" s="48" customFormat="1" ht="12.75">
      <c r="A253" s="110"/>
      <c r="B253" s="129"/>
      <c r="C253" s="42" t="s">
        <v>234</v>
      </c>
      <c r="D253" s="43">
        <v>0</v>
      </c>
      <c r="E253" s="43">
        <f t="shared" ref="E253:J253" si="75">SUM(E254:E255)</f>
        <v>0</v>
      </c>
      <c r="F253" s="43">
        <f t="shared" si="75"/>
        <v>0</v>
      </c>
      <c r="G253" s="43">
        <f t="shared" si="75"/>
        <v>0</v>
      </c>
      <c r="H253" s="43">
        <f t="shared" si="75"/>
        <v>0</v>
      </c>
      <c r="I253" s="43">
        <f t="shared" si="75"/>
        <v>0</v>
      </c>
      <c r="J253" s="43">
        <f t="shared" si="75"/>
        <v>0</v>
      </c>
      <c r="K253" s="58"/>
    </row>
    <row r="254" spans="1:13" s="48" customFormat="1" ht="12" customHeight="1">
      <c r="A254" s="110"/>
      <c r="B254" s="129"/>
      <c r="C254" s="44" t="s">
        <v>230</v>
      </c>
      <c r="D254" s="45">
        <v>0</v>
      </c>
      <c r="E254" s="45">
        <v>0</v>
      </c>
      <c r="F254" s="46">
        <v>0</v>
      </c>
      <c r="G254" s="46">
        <v>0</v>
      </c>
      <c r="H254" s="46">
        <v>0</v>
      </c>
      <c r="I254" s="46">
        <v>0</v>
      </c>
      <c r="J254" s="46">
        <v>0</v>
      </c>
      <c r="K254" s="58"/>
    </row>
    <row r="255" spans="1:13" s="48" customFormat="1" ht="25.5">
      <c r="A255" s="110"/>
      <c r="B255" s="129"/>
      <c r="C255" s="44" t="s">
        <v>226</v>
      </c>
      <c r="D255" s="45">
        <v>0</v>
      </c>
      <c r="E255" s="45">
        <v>0</v>
      </c>
      <c r="F255" s="46">
        <v>0</v>
      </c>
      <c r="G255" s="46">
        <v>0</v>
      </c>
      <c r="H255" s="46">
        <v>0</v>
      </c>
      <c r="I255" s="46">
        <v>0</v>
      </c>
      <c r="J255" s="46">
        <v>0</v>
      </c>
      <c r="K255" s="58"/>
    </row>
    <row r="256" spans="1:13" s="48" customFormat="1" ht="12.75">
      <c r="A256" s="110"/>
      <c r="B256" s="129"/>
      <c r="C256" s="132" t="s">
        <v>269</v>
      </c>
      <c r="D256" s="121">
        <v>3321830</v>
      </c>
      <c r="E256" s="122">
        <f>E257+E258+E259+E260</f>
        <v>3342920</v>
      </c>
      <c r="F256" s="122">
        <f>F257+F258+F259+F260</f>
        <v>3726284</v>
      </c>
      <c r="G256" s="122">
        <f>G257</f>
        <v>3434</v>
      </c>
      <c r="H256" s="122">
        <f>H257</f>
        <v>0</v>
      </c>
      <c r="I256" s="122">
        <f>I257+I258+I259+I260</f>
        <v>3981937</v>
      </c>
      <c r="J256" s="122">
        <f>J257+J258+J259+J260</f>
        <v>3510500</v>
      </c>
      <c r="K256" s="58"/>
    </row>
    <row r="257" spans="1:13" s="48" customFormat="1" ht="16.5" customHeight="1">
      <c r="A257" s="110"/>
      <c r="B257" s="129"/>
      <c r="C257" s="56" t="s">
        <v>230</v>
      </c>
      <c r="D257" s="45">
        <v>755015</v>
      </c>
      <c r="E257" s="57">
        <f>'Wykonanie 8 2025'!I681+'Wykonanie 8 2025'!I684+'Wykonanie 8 2025'!I688+'Wykonanie 8 2025'!I690+'Wykonanie 8 2025'!I692+'Wykonanie 8 2025'!I719</f>
        <v>754885</v>
      </c>
      <c r="F257" s="57">
        <f>3250365-F258</f>
        <v>906514</v>
      </c>
      <c r="G257" s="57">
        <f>29349-G258</f>
        <v>3434</v>
      </c>
      <c r="H257" s="57">
        <v>0</v>
      </c>
      <c r="I257" s="57">
        <f>3340831-I258</f>
        <v>951372</v>
      </c>
      <c r="J257" s="57">
        <v>849000</v>
      </c>
      <c r="K257" s="58"/>
      <c r="M257" s="58"/>
    </row>
    <row r="258" spans="1:13" s="48" customFormat="1" ht="12.75">
      <c r="A258" s="110"/>
      <c r="B258" s="129"/>
      <c r="C258" s="56" t="s">
        <v>262</v>
      </c>
      <c r="D258" s="45">
        <v>2217199</v>
      </c>
      <c r="E258" s="57">
        <f>'Wykonanie 8 2025'!I724+'Wykonanie 8 2025'!I726</f>
        <v>2220419</v>
      </c>
      <c r="F258" s="57">
        <f>2189648+154203</f>
        <v>2343851</v>
      </c>
      <c r="G258" s="57">
        <v>25915</v>
      </c>
      <c r="H258" s="57">
        <v>0</v>
      </c>
      <c r="I258" s="57">
        <f>2205416+184043</f>
        <v>2389459</v>
      </c>
      <c r="J258" s="57">
        <v>2250000</v>
      </c>
      <c r="K258" s="58"/>
    </row>
    <row r="259" spans="1:13" s="48" customFormat="1" ht="12.75">
      <c r="A259" s="110"/>
      <c r="B259" s="129"/>
      <c r="C259" s="134" t="s">
        <v>263</v>
      </c>
      <c r="D259" s="45">
        <v>500</v>
      </c>
      <c r="E259" s="57">
        <f>'Wykonanie 8 2025'!I679</f>
        <v>500</v>
      </c>
      <c r="F259" s="57">
        <v>7370</v>
      </c>
      <c r="G259" s="57">
        <v>0</v>
      </c>
      <c r="H259" s="57">
        <v>0</v>
      </c>
      <c r="I259" s="57">
        <v>500</v>
      </c>
      <c r="J259" s="57">
        <v>500</v>
      </c>
      <c r="K259" s="58"/>
    </row>
    <row r="260" spans="1:13" s="48" customFormat="1" ht="25.5">
      <c r="A260" s="110"/>
      <c r="B260" s="129"/>
      <c r="C260" s="56" t="s">
        <v>226</v>
      </c>
      <c r="D260" s="45">
        <v>349116</v>
      </c>
      <c r="E260" s="57">
        <f>'Wykonanie 8 2025'!I693+'Wykonanie 8 2025'!I695+'Wykonanie 8 2025'!I697+'Wykonanie 8 2025'!I700+'Wykonanie 8 2025'!I702+'Wykonanie 8 2025'!I705+'Wykonanie 8 2025'!I708+'Wykonanie 8 2025'!I710+'Wykonanie 8 2025'!I712+'Wykonanie 8 2025'!I714+'Wykonanie 8 2025'!I717</f>
        <v>367116</v>
      </c>
      <c r="F260" s="57">
        <v>468549</v>
      </c>
      <c r="G260" s="57">
        <v>0</v>
      </c>
      <c r="H260" s="57">
        <v>0</v>
      </c>
      <c r="I260" s="57">
        <v>640606</v>
      </c>
      <c r="J260" s="57">
        <v>411000</v>
      </c>
      <c r="K260" s="58"/>
    </row>
    <row r="261" spans="1:13" s="48" customFormat="1" ht="12.75">
      <c r="A261" s="110"/>
      <c r="B261" s="129"/>
      <c r="C261" s="120" t="s">
        <v>123</v>
      </c>
      <c r="D261" s="121">
        <v>1599173</v>
      </c>
      <c r="E261" s="122">
        <f t="shared" ref="E261:J261" si="76">E262+E263+E264+E265</f>
        <v>1705242</v>
      </c>
      <c r="F261" s="122">
        <f t="shared" si="76"/>
        <v>2160786</v>
      </c>
      <c r="G261" s="122">
        <f t="shared" si="76"/>
        <v>0</v>
      </c>
      <c r="H261" s="122">
        <f t="shared" si="76"/>
        <v>0</v>
      </c>
      <c r="I261" s="122">
        <f t="shared" si="76"/>
        <v>2291886</v>
      </c>
      <c r="J261" s="122">
        <f t="shared" si="76"/>
        <v>1721804</v>
      </c>
      <c r="K261" s="58"/>
    </row>
    <row r="262" spans="1:13" s="48" customFormat="1" ht="17.25" customHeight="1">
      <c r="A262" s="110"/>
      <c r="B262" s="129"/>
      <c r="C262" s="56" t="s">
        <v>230</v>
      </c>
      <c r="D262" s="140">
        <v>536746</v>
      </c>
      <c r="E262" s="57">
        <f>'Wykonanie 8 2025'!I683+'Wykonanie 8 2025'!I685+'Wykonanie 8 2025'!I687+'Wykonanie 8 2025'!I691+'Wykonanie 8 2025'!I720</f>
        <v>532820</v>
      </c>
      <c r="F262" s="57">
        <v>587207</v>
      </c>
      <c r="G262" s="57">
        <v>0</v>
      </c>
      <c r="H262" s="47">
        <v>0</v>
      </c>
      <c r="I262" s="57">
        <v>610330</v>
      </c>
      <c r="J262" s="57">
        <v>557900</v>
      </c>
      <c r="K262" s="58"/>
    </row>
    <row r="263" spans="1:13" s="48" customFormat="1" ht="12.75">
      <c r="A263" s="110"/>
      <c r="B263" s="129"/>
      <c r="C263" s="56" t="s">
        <v>262</v>
      </c>
      <c r="D263" s="140">
        <v>712127</v>
      </c>
      <c r="E263" s="57">
        <f>'Wykonanie 8 2025'!I725+'Wykonanie 8 2025'!I727</f>
        <v>735005</v>
      </c>
      <c r="F263" s="57">
        <f>937580+50834</f>
        <v>988414</v>
      </c>
      <c r="G263" s="57">
        <v>0</v>
      </c>
      <c r="H263" s="47">
        <v>0</v>
      </c>
      <c r="I263" s="57">
        <f>991030+75904</f>
        <v>1066934</v>
      </c>
      <c r="J263" s="57">
        <v>816904</v>
      </c>
      <c r="K263" s="58"/>
    </row>
    <row r="264" spans="1:13" s="48" customFormat="1" ht="12.75">
      <c r="A264" s="110"/>
      <c r="B264" s="129"/>
      <c r="C264" s="134" t="s">
        <v>263</v>
      </c>
      <c r="D264" s="140">
        <v>1000</v>
      </c>
      <c r="E264" s="57">
        <f>'Wykonanie 8 2025'!I680</f>
        <v>1000</v>
      </c>
      <c r="F264" s="57">
        <v>4800</v>
      </c>
      <c r="G264" s="57">
        <v>0</v>
      </c>
      <c r="H264" s="47">
        <v>0</v>
      </c>
      <c r="I264" s="57">
        <v>4280</v>
      </c>
      <c r="J264" s="57">
        <v>1000</v>
      </c>
      <c r="K264" s="58"/>
    </row>
    <row r="265" spans="1:13" s="48" customFormat="1" ht="25.5">
      <c r="A265" s="110"/>
      <c r="B265" s="135"/>
      <c r="C265" s="56" t="s">
        <v>226</v>
      </c>
      <c r="D265" s="140">
        <v>349300</v>
      </c>
      <c r="E265" s="57">
        <f>'Wykonanie 8 2025'!I694+'Wykonanie 8 2025'!I696+'Wykonanie 8 2025'!I698+'Wykonanie 8 2025'!I699+'Wykonanie 8 2025'!I701+'Wykonanie 8 2025'!I703+'Wykonanie 8 2025'!I706+'Wykonanie 8 2025'!I709+'Wykonanie 8 2025'!I711+'Wykonanie 8 2025'!I713+'Wykonanie 8 2025'!I716+'Wykonanie 8 2025'!I718</f>
        <v>436417</v>
      </c>
      <c r="F265" s="57">
        <f>1568779-F263</f>
        <v>580365</v>
      </c>
      <c r="G265" s="57">
        <v>0</v>
      </c>
      <c r="H265" s="47">
        <v>0</v>
      </c>
      <c r="I265" s="57">
        <f>1677276-I263</f>
        <v>610342</v>
      </c>
      <c r="J265" s="57">
        <v>346000</v>
      </c>
      <c r="K265" s="58"/>
    </row>
    <row r="266" spans="1:13" s="48" customFormat="1" ht="12.75">
      <c r="A266" s="110"/>
      <c r="B266" s="129"/>
      <c r="C266" s="120" t="s">
        <v>265</v>
      </c>
      <c r="D266" s="121">
        <v>0</v>
      </c>
      <c r="E266" s="121">
        <f>E267+E268+E269+E270</f>
        <v>81322</v>
      </c>
      <c r="F266" s="121">
        <f t="shared" ref="F266:J266" si="77">F267+F268+F269+F270</f>
        <v>81322</v>
      </c>
      <c r="G266" s="121">
        <f t="shared" si="77"/>
        <v>0</v>
      </c>
      <c r="H266" s="121">
        <f t="shared" si="77"/>
        <v>0</v>
      </c>
      <c r="I266" s="121">
        <f t="shared" si="77"/>
        <v>0</v>
      </c>
      <c r="J266" s="121">
        <f t="shared" si="77"/>
        <v>0</v>
      </c>
      <c r="K266" s="58"/>
    </row>
    <row r="267" spans="1:13" s="48" customFormat="1" ht="25.5">
      <c r="A267" s="110"/>
      <c r="B267" s="129"/>
      <c r="C267" s="56" t="s">
        <v>230</v>
      </c>
      <c r="D267" s="377">
        <v>0</v>
      </c>
      <c r="E267" s="57">
        <f>'Wykonanie 8 2025'!I721+'Wykonanie 8 2025'!I728</f>
        <v>24492</v>
      </c>
      <c r="F267" s="57">
        <f>E267</f>
        <v>24492</v>
      </c>
      <c r="G267" s="57">
        <v>0</v>
      </c>
      <c r="H267" s="47">
        <v>0</v>
      </c>
      <c r="I267" s="57">
        <v>0</v>
      </c>
      <c r="J267" s="57">
        <v>0</v>
      </c>
      <c r="K267" s="58"/>
      <c r="L267" s="58"/>
    </row>
    <row r="268" spans="1:13" s="48" customFormat="1" ht="12.75">
      <c r="A268" s="110"/>
      <c r="B268" s="129"/>
      <c r="C268" s="56" t="s">
        <v>262</v>
      </c>
      <c r="D268" s="377">
        <v>0</v>
      </c>
      <c r="E268" s="57">
        <f>'Wykonanie 8 2025'!I722</f>
        <v>50987</v>
      </c>
      <c r="F268" s="57">
        <f t="shared" ref="F268:F270" si="78">E268</f>
        <v>50987</v>
      </c>
      <c r="G268" s="57">
        <v>0</v>
      </c>
      <c r="H268" s="47">
        <v>0</v>
      </c>
      <c r="I268" s="57">
        <v>0</v>
      </c>
      <c r="J268" s="57">
        <v>0</v>
      </c>
      <c r="K268" s="58"/>
    </row>
    <row r="269" spans="1:13" s="48" customFormat="1" ht="12.75">
      <c r="A269" s="110"/>
      <c r="B269" s="129"/>
      <c r="C269" s="134" t="s">
        <v>268</v>
      </c>
      <c r="D269" s="377">
        <v>0</v>
      </c>
      <c r="E269" s="57">
        <f>'Wykonanie 8 2025'!I677</f>
        <v>0</v>
      </c>
      <c r="F269" s="57">
        <f t="shared" si="78"/>
        <v>0</v>
      </c>
      <c r="G269" s="57">
        <v>0</v>
      </c>
      <c r="H269" s="57">
        <v>0</v>
      </c>
      <c r="I269" s="57">
        <v>0</v>
      </c>
      <c r="J269" s="57">
        <v>0</v>
      </c>
      <c r="K269" s="58"/>
    </row>
    <row r="270" spans="1:13" s="48" customFormat="1" ht="25.5">
      <c r="A270" s="110"/>
      <c r="B270" s="135"/>
      <c r="C270" s="56" t="s">
        <v>226</v>
      </c>
      <c r="D270" s="377">
        <v>0</v>
      </c>
      <c r="E270" s="57">
        <f>'Wykonanie 8 2025'!I704+'Wykonanie 8 2025'!I707+'Wykonanie 8 2025'!I729</f>
        <v>5843</v>
      </c>
      <c r="F270" s="57">
        <f t="shared" si="78"/>
        <v>5843</v>
      </c>
      <c r="G270" s="57">
        <v>0</v>
      </c>
      <c r="H270" s="57">
        <v>0</v>
      </c>
      <c r="I270" s="57">
        <v>0</v>
      </c>
      <c r="J270" s="57">
        <v>0</v>
      </c>
      <c r="K270" s="58"/>
    </row>
    <row r="271" spans="1:13" s="48" customFormat="1" ht="12.75">
      <c r="A271" s="110"/>
      <c r="B271" s="37">
        <v>80120</v>
      </c>
      <c r="C271" s="38" t="s">
        <v>129</v>
      </c>
      <c r="D271" s="136">
        <v>12552439</v>
      </c>
      <c r="E271" s="136">
        <f>E272+E278+E281+E284+E289+E294</f>
        <v>12883366.08</v>
      </c>
      <c r="F271" s="136">
        <f t="shared" ref="F271:J271" si="79">F272+F278+F281+F284+F289+F294</f>
        <v>13138501</v>
      </c>
      <c r="G271" s="136">
        <f t="shared" si="79"/>
        <v>0</v>
      </c>
      <c r="H271" s="136">
        <f t="shared" si="79"/>
        <v>0</v>
      </c>
      <c r="I271" s="136">
        <f t="shared" si="79"/>
        <v>15547031</v>
      </c>
      <c r="J271" s="136">
        <f t="shared" si="79"/>
        <v>14527531</v>
      </c>
      <c r="K271" s="58"/>
    </row>
    <row r="272" spans="1:13" s="48" customFormat="1" ht="12.75">
      <c r="A272" s="110"/>
      <c r="B272" s="128"/>
      <c r="C272" s="117" t="s">
        <v>259</v>
      </c>
      <c r="D272" s="43">
        <v>2621659</v>
      </c>
      <c r="E272" s="43">
        <f>E273+E274+E275+E276+E277</f>
        <v>2048125</v>
      </c>
      <c r="F272" s="43">
        <f>F273+F276+F277</f>
        <v>1850008</v>
      </c>
      <c r="G272" s="43">
        <f>G273+G276+G277</f>
        <v>0</v>
      </c>
      <c r="H272" s="43">
        <f>H273+H276+H277</f>
        <v>0</v>
      </c>
      <c r="I272" s="43">
        <f>I273+I274+I275+I276+I277</f>
        <v>3418736</v>
      </c>
      <c r="J272" s="43">
        <f>J273+J274+J275+J276+J277</f>
        <v>3418736</v>
      </c>
      <c r="K272" s="58"/>
    </row>
    <row r="273" spans="1:13" s="48" customFormat="1" ht="12.75">
      <c r="A273" s="110"/>
      <c r="B273" s="129"/>
      <c r="C273" s="114" t="s">
        <v>268</v>
      </c>
      <c r="D273" s="45">
        <v>1772490</v>
      </c>
      <c r="E273" s="45">
        <f>'Wykonanie 8 2025'!I732</f>
        <v>1772490</v>
      </c>
      <c r="F273" s="46">
        <v>1850008</v>
      </c>
      <c r="G273" s="46">
        <v>0</v>
      </c>
      <c r="H273" s="46">
        <v>0</v>
      </c>
      <c r="I273" s="46">
        <v>1979509</v>
      </c>
      <c r="J273" s="46">
        <f>I273</f>
        <v>1979509</v>
      </c>
      <c r="K273" s="58"/>
    </row>
    <row r="274" spans="1:13" s="48" customFormat="1" ht="12.75">
      <c r="A274" s="110"/>
      <c r="B274" s="129"/>
      <c r="C274" s="56" t="s">
        <v>262</v>
      </c>
      <c r="D274" s="45">
        <v>718270</v>
      </c>
      <c r="E274" s="45">
        <f>'Wykonanie 8 2025'!I779</f>
        <v>250163</v>
      </c>
      <c r="F274" s="46">
        <v>0</v>
      </c>
      <c r="G274" s="46">
        <v>0</v>
      </c>
      <c r="H274" s="46">
        <v>0</v>
      </c>
      <c r="I274" s="46">
        <v>1223268</v>
      </c>
      <c r="J274" s="46">
        <v>1223268</v>
      </c>
      <c r="K274" s="58"/>
    </row>
    <row r="275" spans="1:13" s="48" customFormat="1" ht="12.75">
      <c r="A275" s="110"/>
      <c r="B275" s="129"/>
      <c r="C275" s="134" t="s">
        <v>263</v>
      </c>
      <c r="D275" s="45">
        <v>1000</v>
      </c>
      <c r="E275" s="45">
        <f>'Wykonanie 8 2025'!I734</f>
        <v>500</v>
      </c>
      <c r="F275" s="46">
        <v>0</v>
      </c>
      <c r="G275" s="46">
        <v>0</v>
      </c>
      <c r="H275" s="46">
        <v>0</v>
      </c>
      <c r="I275" s="46">
        <v>2000</v>
      </c>
      <c r="J275" s="46">
        <v>2000</v>
      </c>
      <c r="K275" s="58"/>
    </row>
    <row r="276" spans="1:13" s="48" customFormat="1" ht="12" customHeight="1">
      <c r="A276" s="110"/>
      <c r="B276" s="129"/>
      <c r="C276" s="44" t="s">
        <v>230</v>
      </c>
      <c r="D276" s="45">
        <v>129899</v>
      </c>
      <c r="E276" s="45">
        <f>'Wykonanie 8 2025'!I737+'Wykonanie 8 2025'!I741+'Wykonanie 8 2025'!I744</f>
        <v>24972</v>
      </c>
      <c r="F276" s="46">
        <v>0</v>
      </c>
      <c r="G276" s="46">
        <v>0</v>
      </c>
      <c r="H276" s="46">
        <v>0</v>
      </c>
      <c r="I276" s="46">
        <f>77220+119667+17072</f>
        <v>213959</v>
      </c>
      <c r="J276" s="46">
        <v>213959</v>
      </c>
      <c r="K276" s="58"/>
    </row>
    <row r="277" spans="1:13" s="48" customFormat="1" ht="25.5">
      <c r="A277" s="110"/>
      <c r="B277" s="129"/>
      <c r="C277" s="44" t="s">
        <v>226</v>
      </c>
      <c r="D277" s="45">
        <v>0</v>
      </c>
      <c r="E277" s="46">
        <v>0</v>
      </c>
      <c r="F277" s="46">
        <v>0</v>
      </c>
      <c r="G277" s="46">
        <v>0</v>
      </c>
      <c r="H277" s="46">
        <v>0</v>
      </c>
      <c r="I277" s="46">
        <v>0</v>
      </c>
      <c r="J277" s="46">
        <f t="shared" ref="J277" si="80">I277</f>
        <v>0</v>
      </c>
      <c r="K277" s="58"/>
    </row>
    <row r="278" spans="1:13" s="48" customFormat="1" ht="12.75">
      <c r="A278" s="110"/>
      <c r="B278" s="129"/>
      <c r="C278" s="42" t="s">
        <v>231</v>
      </c>
      <c r="D278" s="43">
        <v>9000</v>
      </c>
      <c r="E278" s="43">
        <f t="shared" ref="E278:J278" si="81">E279+E280</f>
        <v>9000</v>
      </c>
      <c r="F278" s="43">
        <f t="shared" si="81"/>
        <v>0</v>
      </c>
      <c r="G278" s="43">
        <f t="shared" si="81"/>
        <v>0</v>
      </c>
      <c r="H278" s="43">
        <f t="shared" si="81"/>
        <v>0</v>
      </c>
      <c r="I278" s="43">
        <f t="shared" si="81"/>
        <v>9000</v>
      </c>
      <c r="J278" s="43">
        <f t="shared" si="81"/>
        <v>10000</v>
      </c>
      <c r="K278" s="58"/>
    </row>
    <row r="279" spans="1:13" s="48" customFormat="1" ht="13.5" customHeight="1">
      <c r="A279" s="110"/>
      <c r="B279" s="116"/>
      <c r="C279" s="44" t="s">
        <v>230</v>
      </c>
      <c r="D279" s="45">
        <v>0</v>
      </c>
      <c r="E279" s="46">
        <v>0</v>
      </c>
      <c r="F279" s="46">
        <v>0</v>
      </c>
      <c r="G279" s="46">
        <v>0</v>
      </c>
      <c r="H279" s="46">
        <v>0</v>
      </c>
      <c r="I279" s="46">
        <v>0</v>
      </c>
      <c r="J279" s="46">
        <v>0</v>
      </c>
      <c r="K279" s="58"/>
      <c r="L279" s="127"/>
    </row>
    <row r="280" spans="1:13" s="48" customFormat="1" ht="25.5">
      <c r="A280" s="110"/>
      <c r="B280" s="116"/>
      <c r="C280" s="44" t="s">
        <v>226</v>
      </c>
      <c r="D280" s="45">
        <v>9000</v>
      </c>
      <c r="E280" s="46">
        <f>'Wykonanie 8 2025'!I770</f>
        <v>9000</v>
      </c>
      <c r="F280" s="46">
        <v>0</v>
      </c>
      <c r="G280" s="46">
        <v>0</v>
      </c>
      <c r="H280" s="46">
        <v>0</v>
      </c>
      <c r="I280" s="46">
        <v>9000</v>
      </c>
      <c r="J280" s="46">
        <v>10000</v>
      </c>
      <c r="K280" s="58"/>
    </row>
    <row r="281" spans="1:13" s="48" customFormat="1" ht="12.75">
      <c r="A281" s="110"/>
      <c r="B281" s="116"/>
      <c r="C281" s="42" t="s">
        <v>234</v>
      </c>
      <c r="D281" s="43">
        <v>0</v>
      </c>
      <c r="E281" s="43">
        <f t="shared" ref="E281:J281" si="82">E282+E283</f>
        <v>0</v>
      </c>
      <c r="F281" s="43">
        <f t="shared" si="82"/>
        <v>0</v>
      </c>
      <c r="G281" s="43">
        <f t="shared" si="82"/>
        <v>0</v>
      </c>
      <c r="H281" s="43">
        <f t="shared" si="82"/>
        <v>0</v>
      </c>
      <c r="I281" s="43">
        <f t="shared" si="82"/>
        <v>0</v>
      </c>
      <c r="J281" s="43">
        <f t="shared" si="82"/>
        <v>0</v>
      </c>
      <c r="K281" s="58"/>
    </row>
    <row r="282" spans="1:13" s="48" customFormat="1" ht="12" customHeight="1">
      <c r="A282" s="110"/>
      <c r="B282" s="116"/>
      <c r="C282" s="44" t="s">
        <v>230</v>
      </c>
      <c r="D282" s="45">
        <v>0</v>
      </c>
      <c r="E282" s="45">
        <v>0</v>
      </c>
      <c r="F282" s="45">
        <v>0</v>
      </c>
      <c r="G282" s="45">
        <v>0</v>
      </c>
      <c r="H282" s="45">
        <v>0</v>
      </c>
      <c r="I282" s="45">
        <v>0</v>
      </c>
      <c r="J282" s="45">
        <v>0</v>
      </c>
      <c r="K282" s="58"/>
    </row>
    <row r="283" spans="1:13" s="48" customFormat="1" ht="25.5">
      <c r="A283" s="110"/>
      <c r="B283" s="116"/>
      <c r="C283" s="44" t="s">
        <v>226</v>
      </c>
      <c r="D283" s="45">
        <v>0</v>
      </c>
      <c r="E283" s="45">
        <v>0</v>
      </c>
      <c r="F283" s="45">
        <v>0</v>
      </c>
      <c r="G283" s="45">
        <v>0</v>
      </c>
      <c r="H283" s="45">
        <v>0</v>
      </c>
      <c r="I283" s="45">
        <v>0</v>
      </c>
      <c r="J283" s="45">
        <v>0</v>
      </c>
      <c r="K283" s="58"/>
    </row>
    <row r="284" spans="1:13" s="48" customFormat="1" ht="12.75">
      <c r="A284" s="110"/>
      <c r="B284" s="116"/>
      <c r="C284" s="120" t="s">
        <v>123</v>
      </c>
      <c r="D284" s="121">
        <v>4993057</v>
      </c>
      <c r="E284" s="122">
        <f>E285+E286+E287+E288</f>
        <v>5477244</v>
      </c>
      <c r="F284" s="122">
        <f>F285+F286+F287+F288</f>
        <v>6183452</v>
      </c>
      <c r="G284" s="122">
        <f>G285+G287+G288</f>
        <v>0</v>
      </c>
      <c r="H284" s="122">
        <f>H285</f>
        <v>0</v>
      </c>
      <c r="I284" s="122">
        <f>I285+I286+I287+I288</f>
        <v>7110338</v>
      </c>
      <c r="J284" s="122">
        <f>J285+J286+J287+J288</f>
        <v>6094838</v>
      </c>
      <c r="K284" s="58"/>
      <c r="L284" s="137"/>
    </row>
    <row r="285" spans="1:13" s="48" customFormat="1" ht="15" customHeight="1">
      <c r="A285" s="110"/>
      <c r="B285" s="116"/>
      <c r="C285" s="56" t="s">
        <v>230</v>
      </c>
      <c r="D285" s="45">
        <v>1304872</v>
      </c>
      <c r="E285" s="57">
        <f>'Wykonanie 8 2025'!I738+'Wykonanie 8 2025'!I740+'Wykonanie 8 2025'!I743+'Wykonanie 8 2025'!I746+'Wykonanie 8 2025'!I747+'Wykonanie 8 2025'!I774</f>
        <v>1366043</v>
      </c>
      <c r="F285" s="57">
        <v>1456123</v>
      </c>
      <c r="G285" s="57">
        <v>0</v>
      </c>
      <c r="H285" s="47">
        <v>0</v>
      </c>
      <c r="I285" s="57">
        <v>1548840</v>
      </c>
      <c r="J285" s="57">
        <v>1551840</v>
      </c>
      <c r="K285" s="58"/>
      <c r="L285" s="58"/>
      <c r="M285" s="58"/>
    </row>
    <row r="286" spans="1:13" s="48" customFormat="1" ht="12.75">
      <c r="A286" s="110"/>
      <c r="B286" s="116"/>
      <c r="C286" s="56" t="s">
        <v>262</v>
      </c>
      <c r="D286" s="45">
        <v>3186999</v>
      </c>
      <c r="E286" s="57">
        <f>'Wykonanie 8 2025'!I778+'Wykonanie 8 2025'!I780</f>
        <v>3603362</v>
      </c>
      <c r="F286" s="57">
        <f>3883000+233254</f>
        <v>4116254</v>
      </c>
      <c r="G286" s="57">
        <v>0</v>
      </c>
      <c r="H286" s="47">
        <v>0</v>
      </c>
      <c r="I286" s="57">
        <f>4581000+296780</f>
        <v>4877780</v>
      </c>
      <c r="J286" s="57">
        <v>4000000</v>
      </c>
      <c r="K286" s="58"/>
      <c r="L286" s="58"/>
    </row>
    <row r="287" spans="1:13" s="48" customFormat="1" ht="12.75">
      <c r="A287" s="110"/>
      <c r="B287" s="116"/>
      <c r="C287" s="134" t="s">
        <v>263</v>
      </c>
      <c r="D287" s="45">
        <v>1500</v>
      </c>
      <c r="E287" s="57">
        <f>'Wykonanie 8 2025'!I735</f>
        <v>2000</v>
      </c>
      <c r="F287" s="57">
        <v>4200</v>
      </c>
      <c r="G287" s="57">
        <v>0</v>
      </c>
      <c r="H287" s="47">
        <v>0</v>
      </c>
      <c r="I287" s="57">
        <v>4600</v>
      </c>
      <c r="J287" s="57">
        <v>1500</v>
      </c>
      <c r="K287" s="58"/>
    </row>
    <row r="288" spans="1:13" s="48" customFormat="1" ht="25.5">
      <c r="A288" s="110"/>
      <c r="B288" s="116"/>
      <c r="C288" s="56" t="s">
        <v>226</v>
      </c>
      <c r="D288" s="45">
        <v>499686</v>
      </c>
      <c r="E288" s="57">
        <f>'Wykonanie 8 2025'!I749+'Wykonanie 8 2025'!I752+'Wykonanie 8 2025'!I754+'Wykonanie 8 2025'!I756+'Wykonanie 8 2025'!I758+'Wykonanie 8 2025'!I760+'Wykonanie 8 2025'!I763+'Wykonanie 8 2025'!I766+'Wykonanie 8 2025'!I768+'Wykonanie 8 2025'!I769+'Wykonanie 8 2025'!I771+'Wykonanie 8 2025'!I772</f>
        <v>505839</v>
      </c>
      <c r="F288" s="57">
        <f>4723129-F286</f>
        <v>606875</v>
      </c>
      <c r="G288" s="57">
        <v>0</v>
      </c>
      <c r="H288" s="47">
        <v>0</v>
      </c>
      <c r="I288" s="57">
        <f>5556898-I286</f>
        <v>679118</v>
      </c>
      <c r="J288" s="57">
        <v>541498</v>
      </c>
      <c r="K288" s="58"/>
    </row>
    <row r="289" spans="1:12" s="48" customFormat="1" ht="12.75">
      <c r="A289" s="110"/>
      <c r="B289" s="116"/>
      <c r="C289" s="120" t="s">
        <v>270</v>
      </c>
      <c r="D289" s="121">
        <v>4928723</v>
      </c>
      <c r="E289" s="122">
        <f>E290+E291+E292+E293</f>
        <v>5088223</v>
      </c>
      <c r="F289" s="122">
        <f>F290+F291+F292+F293</f>
        <v>5105041</v>
      </c>
      <c r="G289" s="122">
        <f>G290+G292+G293</f>
        <v>0</v>
      </c>
      <c r="H289" s="122">
        <f>H290</f>
        <v>0</v>
      </c>
      <c r="I289" s="122">
        <f>I290+I291+I292+I293</f>
        <v>5008957</v>
      </c>
      <c r="J289" s="122">
        <f>J290+J291+J292+J293</f>
        <v>5003957</v>
      </c>
      <c r="K289" s="58"/>
    </row>
    <row r="290" spans="1:12" s="48" customFormat="1" ht="15" customHeight="1">
      <c r="A290" s="110"/>
      <c r="B290" s="116"/>
      <c r="C290" s="56" t="s">
        <v>230</v>
      </c>
      <c r="D290" s="45">
        <v>1321105</v>
      </c>
      <c r="E290" s="57">
        <f>'Wykonanie 8 2025'!I736+'Wykonanie 8 2025'!I739+'Wykonanie 8 2025'!I742+'Wykonanie 8 2025'!I745+'Wykonanie 8 2025'!I773</f>
        <v>1354995</v>
      </c>
      <c r="F290" s="57">
        <f>4650101-F291</f>
        <v>1363296</v>
      </c>
      <c r="G290" s="57">
        <v>0</v>
      </c>
      <c r="H290" s="57">
        <v>0</v>
      </c>
      <c r="I290" s="57">
        <f>4597452-I291</f>
        <v>1334696</v>
      </c>
      <c r="J290" s="57">
        <v>1334696</v>
      </c>
      <c r="K290" s="58"/>
    </row>
    <row r="291" spans="1:12" s="48" customFormat="1" ht="12.75">
      <c r="A291" s="110"/>
      <c r="B291" s="116"/>
      <c r="C291" s="56" t="s">
        <v>262</v>
      </c>
      <c r="D291" s="45">
        <v>3265162</v>
      </c>
      <c r="E291" s="57">
        <f>'Wykonanie 8 2025'!I777+'Wykonanie 8 2025'!I781</f>
        <v>3316906</v>
      </c>
      <c r="F291" s="57">
        <f>3050000+236805</f>
        <v>3286805</v>
      </c>
      <c r="G291" s="57">
        <v>0</v>
      </c>
      <c r="H291" s="57">
        <v>0</v>
      </c>
      <c r="I291" s="57">
        <f>3009551+253205</f>
        <v>3262756</v>
      </c>
      <c r="J291" s="57">
        <v>3262756</v>
      </c>
      <c r="K291" s="58"/>
    </row>
    <row r="292" spans="1:12" s="48" customFormat="1" ht="12.75">
      <c r="A292" s="110"/>
      <c r="B292" s="116"/>
      <c r="C292" s="134" t="s">
        <v>263</v>
      </c>
      <c r="D292" s="45">
        <v>1500</v>
      </c>
      <c r="E292" s="57">
        <f>'Wykonanie 8 2025'!I733</f>
        <v>1500</v>
      </c>
      <c r="F292" s="57">
        <v>3500</v>
      </c>
      <c r="G292" s="57">
        <v>0</v>
      </c>
      <c r="H292" s="57">
        <v>0</v>
      </c>
      <c r="I292" s="57">
        <v>3500</v>
      </c>
      <c r="J292" s="57">
        <v>1500</v>
      </c>
      <c r="K292" s="58"/>
    </row>
    <row r="293" spans="1:12" s="48" customFormat="1" ht="25.5">
      <c r="A293" s="124"/>
      <c r="B293" s="116"/>
      <c r="C293" s="56" t="s">
        <v>226</v>
      </c>
      <c r="D293" s="45">
        <v>340956</v>
      </c>
      <c r="E293" s="57">
        <f>'Wykonanie 8 2025'!I748+'Wykonanie 8 2025'!I751+'Wykonanie 8 2025'!I753+'Wykonanie 8 2025'!I755+'Wykonanie 8 2025'!I757+'Wykonanie 8 2025'!I759+'Wykonanie 8 2025'!I762+'Wykonanie 8 2025'!I765+'Wykonanie 8 2025'!I767</f>
        <v>414822</v>
      </c>
      <c r="F293" s="57">
        <v>451440</v>
      </c>
      <c r="G293" s="57">
        <v>0</v>
      </c>
      <c r="H293" s="57">
        <v>0</v>
      </c>
      <c r="I293" s="57">
        <v>408005</v>
      </c>
      <c r="J293" s="57">
        <v>405005</v>
      </c>
      <c r="K293" s="58"/>
      <c r="L293" s="58"/>
    </row>
    <row r="294" spans="1:12" s="48" customFormat="1" ht="12.75">
      <c r="A294" s="110"/>
      <c r="B294" s="116"/>
      <c r="C294" s="120" t="s">
        <v>265</v>
      </c>
      <c r="D294" s="121">
        <v>0</v>
      </c>
      <c r="E294" s="121">
        <f t="shared" ref="E294:J294" si="83">E295+E296+E297+E298+E299</f>
        <v>260774.08</v>
      </c>
      <c r="F294" s="121">
        <f t="shared" si="83"/>
        <v>0</v>
      </c>
      <c r="G294" s="121">
        <f t="shared" si="83"/>
        <v>0</v>
      </c>
      <c r="H294" s="121">
        <f t="shared" si="83"/>
        <v>0</v>
      </c>
      <c r="I294" s="121">
        <f t="shared" si="83"/>
        <v>0</v>
      </c>
      <c r="J294" s="121">
        <f t="shared" si="83"/>
        <v>0</v>
      </c>
      <c r="K294" s="58"/>
    </row>
    <row r="295" spans="1:12" s="48" customFormat="1" ht="12.75">
      <c r="A295" s="110"/>
      <c r="B295" s="129"/>
      <c r="C295" s="114" t="s">
        <v>268</v>
      </c>
      <c r="D295" s="45">
        <v>0</v>
      </c>
      <c r="E295" s="45">
        <f>'Wykonanie 8 2025'!I731</f>
        <v>135407.07999999999</v>
      </c>
      <c r="F295" s="46">
        <v>0</v>
      </c>
      <c r="G295" s="46">
        <v>0</v>
      </c>
      <c r="H295" s="46">
        <v>0</v>
      </c>
      <c r="I295" s="46">
        <v>0</v>
      </c>
      <c r="J295" s="46">
        <v>0</v>
      </c>
      <c r="K295" s="58"/>
    </row>
    <row r="296" spans="1:12" s="40" customFormat="1" ht="10.5" customHeight="1">
      <c r="A296" s="110"/>
      <c r="B296" s="116"/>
      <c r="C296" s="56" t="s">
        <v>230</v>
      </c>
      <c r="D296" s="45">
        <v>0</v>
      </c>
      <c r="E296" s="57">
        <f>'Wykonanie 8 2025'!I775+'Wykonanie 8 2025'!I782</f>
        <v>34497</v>
      </c>
      <c r="F296" s="57">
        <v>0</v>
      </c>
      <c r="G296" s="46">
        <v>0</v>
      </c>
      <c r="H296" s="46">
        <v>0</v>
      </c>
      <c r="I296" s="46">
        <v>0</v>
      </c>
      <c r="J296" s="46">
        <v>0</v>
      </c>
      <c r="K296" s="61"/>
    </row>
    <row r="297" spans="1:12" s="40" customFormat="1" ht="12.75">
      <c r="A297" s="110"/>
      <c r="B297" s="116"/>
      <c r="C297" s="56" t="s">
        <v>262</v>
      </c>
      <c r="D297" s="45">
        <v>0</v>
      </c>
      <c r="E297" s="57">
        <f>'Wykonanie 8 2025'!I776</f>
        <v>77033.38</v>
      </c>
      <c r="F297" s="57">
        <v>0</v>
      </c>
      <c r="G297" s="46">
        <v>0</v>
      </c>
      <c r="H297" s="46">
        <v>0</v>
      </c>
      <c r="I297" s="46">
        <v>0</v>
      </c>
      <c r="J297" s="46">
        <v>0</v>
      </c>
      <c r="K297" s="61"/>
    </row>
    <row r="298" spans="1:12" s="40" customFormat="1" ht="12.75">
      <c r="A298" s="110"/>
      <c r="B298" s="116"/>
      <c r="C298" s="134" t="s">
        <v>263</v>
      </c>
      <c r="D298" s="45">
        <v>0</v>
      </c>
      <c r="E298" s="57">
        <v>0</v>
      </c>
      <c r="F298" s="57">
        <v>0</v>
      </c>
      <c r="G298" s="46">
        <v>0</v>
      </c>
      <c r="H298" s="46">
        <v>0</v>
      </c>
      <c r="I298" s="46">
        <v>0</v>
      </c>
      <c r="J298" s="46">
        <v>0</v>
      </c>
      <c r="K298" s="61"/>
    </row>
    <row r="299" spans="1:12" s="48" customFormat="1" ht="25.5">
      <c r="A299" s="110"/>
      <c r="B299" s="125"/>
      <c r="C299" s="56" t="s">
        <v>226</v>
      </c>
      <c r="D299" s="45">
        <v>0</v>
      </c>
      <c r="E299" s="57">
        <f>'Wykonanie 8 2025'!I761+'Wykonanie 8 2025'!I764+'Wykonanie 8 2025'!I783</f>
        <v>13836.619999999999</v>
      </c>
      <c r="F299" s="57">
        <v>0</v>
      </c>
      <c r="G299" s="46">
        <v>0</v>
      </c>
      <c r="H299" s="46">
        <v>0</v>
      </c>
      <c r="I299" s="46">
        <v>0</v>
      </c>
      <c r="J299" s="46">
        <v>0</v>
      </c>
      <c r="K299" s="58"/>
    </row>
    <row r="300" spans="1:12" s="40" customFormat="1">
      <c r="A300" s="100"/>
      <c r="B300" s="37">
        <v>80132</v>
      </c>
      <c r="C300" s="38" t="s">
        <v>135</v>
      </c>
      <c r="D300" s="39">
        <v>3505226</v>
      </c>
      <c r="E300" s="39">
        <f t="shared" ref="E300:I300" si="84">E301+E304+E307+E309</f>
        <v>3534254</v>
      </c>
      <c r="F300" s="39">
        <f t="shared" si="84"/>
        <v>3478892.42</v>
      </c>
      <c r="G300" s="39">
        <f t="shared" si="84"/>
        <v>53957.07</v>
      </c>
      <c r="H300" s="39">
        <f t="shared" si="84"/>
        <v>0</v>
      </c>
      <c r="I300" s="39">
        <f t="shared" si="84"/>
        <v>3777275.61</v>
      </c>
      <c r="J300" s="39">
        <f>J301+J304+J309+J307</f>
        <v>3769413.07</v>
      </c>
      <c r="K300" s="61"/>
    </row>
    <row r="301" spans="1:12" s="40" customFormat="1">
      <c r="A301" s="100"/>
      <c r="B301" s="87"/>
      <c r="C301" s="139" t="s">
        <v>259</v>
      </c>
      <c r="D301" s="43">
        <v>45079</v>
      </c>
      <c r="E301" s="43">
        <f>E302+E303</f>
        <v>22833.58</v>
      </c>
      <c r="F301" s="43">
        <f>F303</f>
        <v>0</v>
      </c>
      <c r="G301" s="43">
        <f>G303</f>
        <v>0</v>
      </c>
      <c r="H301" s="43">
        <f>H303</f>
        <v>0</v>
      </c>
      <c r="I301" s="43">
        <f>I302+I303</f>
        <v>42237</v>
      </c>
      <c r="J301" s="43">
        <f>J302+J303</f>
        <v>42237</v>
      </c>
      <c r="K301" s="61"/>
    </row>
    <row r="302" spans="1:12" s="40" customFormat="1">
      <c r="A302" s="100"/>
      <c r="B302" s="87"/>
      <c r="C302" s="56" t="s">
        <v>262</v>
      </c>
      <c r="D302" s="140">
        <v>27468</v>
      </c>
      <c r="E302" s="140">
        <f>'Wykonanie 8 2025'!I809</f>
        <v>5222.58</v>
      </c>
      <c r="F302" s="140">
        <v>0</v>
      </c>
      <c r="G302" s="140">
        <v>0</v>
      </c>
      <c r="H302" s="140">
        <v>0</v>
      </c>
      <c r="I302" s="140">
        <v>40044</v>
      </c>
      <c r="J302" s="140">
        <v>40044</v>
      </c>
      <c r="K302" s="61"/>
    </row>
    <row r="303" spans="1:12" s="48" customFormat="1" ht="14.25" customHeight="1">
      <c r="A303" s="100"/>
      <c r="B303" s="87"/>
      <c r="C303" s="44" t="s">
        <v>230</v>
      </c>
      <c r="D303" s="140">
        <v>17611</v>
      </c>
      <c r="E303" s="140">
        <f>'Wykonanie 8 2025'!I787+'Wykonanie 8 2025'!I790+'Wykonanie 8 2025'!I792</f>
        <v>17611</v>
      </c>
      <c r="F303" s="140">
        <v>0</v>
      </c>
      <c r="G303" s="140">
        <v>0</v>
      </c>
      <c r="H303" s="140">
        <v>0</v>
      </c>
      <c r="I303" s="140">
        <f>1918+275</f>
        <v>2193</v>
      </c>
      <c r="J303" s="140">
        <v>2193</v>
      </c>
      <c r="K303" s="58"/>
    </row>
    <row r="304" spans="1:12" s="48" customFormat="1">
      <c r="A304" s="109"/>
      <c r="B304" s="87"/>
      <c r="C304" s="42" t="s">
        <v>231</v>
      </c>
      <c r="D304" s="43">
        <v>3500</v>
      </c>
      <c r="E304" s="43">
        <f t="shared" ref="E304:J304" si="85">E305+E306</f>
        <v>3500</v>
      </c>
      <c r="F304" s="43">
        <f t="shared" si="85"/>
        <v>0</v>
      </c>
      <c r="G304" s="43">
        <f t="shared" si="85"/>
        <v>0</v>
      </c>
      <c r="H304" s="43">
        <f t="shared" si="85"/>
        <v>0</v>
      </c>
      <c r="I304" s="43">
        <f t="shared" si="85"/>
        <v>3500</v>
      </c>
      <c r="J304" s="43">
        <f t="shared" si="85"/>
        <v>3500</v>
      </c>
      <c r="K304" s="58"/>
    </row>
    <row r="305" spans="1:11" s="48" customFormat="1" ht="25.5">
      <c r="A305" s="110"/>
      <c r="B305" s="111"/>
      <c r="C305" s="44" t="s">
        <v>230</v>
      </c>
      <c r="D305" s="45">
        <v>0</v>
      </c>
      <c r="E305" s="45">
        <v>0</v>
      </c>
      <c r="F305" s="45">
        <v>0</v>
      </c>
      <c r="G305" s="45">
        <v>0</v>
      </c>
      <c r="H305" s="45">
        <v>0</v>
      </c>
      <c r="I305" s="45">
        <v>0</v>
      </c>
      <c r="J305" s="45">
        <v>0</v>
      </c>
      <c r="K305" s="58"/>
    </row>
    <row r="306" spans="1:11" s="48" customFormat="1" ht="25.5">
      <c r="A306" s="110"/>
      <c r="B306" s="111"/>
      <c r="C306" s="44" t="s">
        <v>226</v>
      </c>
      <c r="D306" s="45">
        <v>3500</v>
      </c>
      <c r="E306" s="45">
        <f>'Wykonanie 8 2025'!I806</f>
        <v>3500</v>
      </c>
      <c r="F306" s="46">
        <v>0</v>
      </c>
      <c r="G306" s="46">
        <v>0</v>
      </c>
      <c r="H306" s="46">
        <v>0</v>
      </c>
      <c r="I306" s="46">
        <v>3500</v>
      </c>
      <c r="J306" s="46">
        <v>3500</v>
      </c>
      <c r="K306" s="58"/>
    </row>
    <row r="307" spans="1:11" s="48" customFormat="1" ht="12.75">
      <c r="A307" s="110"/>
      <c r="B307" s="141"/>
      <c r="C307" s="42" t="s">
        <v>234</v>
      </c>
      <c r="D307" s="43">
        <v>0</v>
      </c>
      <c r="E307" s="43">
        <f t="shared" ref="E307:J307" si="86">SUM(E308:E308)</f>
        <v>29028</v>
      </c>
      <c r="F307" s="43">
        <f t="shared" si="86"/>
        <v>0</v>
      </c>
      <c r="G307" s="43">
        <f t="shared" si="86"/>
        <v>0</v>
      </c>
      <c r="H307" s="43">
        <f t="shared" si="86"/>
        <v>0</v>
      </c>
      <c r="I307" s="43">
        <f t="shared" si="86"/>
        <v>0</v>
      </c>
      <c r="J307" s="43">
        <f t="shared" si="86"/>
        <v>0</v>
      </c>
      <c r="K307" s="58"/>
    </row>
    <row r="308" spans="1:11" s="48" customFormat="1" ht="25.5">
      <c r="A308" s="110"/>
      <c r="B308" s="141"/>
      <c r="C308" s="44" t="s">
        <v>226</v>
      </c>
      <c r="D308" s="45">
        <v>0</v>
      </c>
      <c r="E308" s="45">
        <f>'Wykonanie 8 2025'!I799</f>
        <v>29028</v>
      </c>
      <c r="F308" s="46">
        <v>0</v>
      </c>
      <c r="G308" s="46">
        <v>0</v>
      </c>
      <c r="H308" s="46">
        <v>0</v>
      </c>
      <c r="I308" s="46">
        <v>0</v>
      </c>
      <c r="J308" s="46">
        <v>0</v>
      </c>
      <c r="K308" s="58"/>
    </row>
    <row r="309" spans="1:11" s="48" customFormat="1" ht="12.75">
      <c r="A309" s="110"/>
      <c r="B309" s="141"/>
      <c r="C309" s="120" t="s">
        <v>271</v>
      </c>
      <c r="D309" s="121">
        <v>3456647</v>
      </c>
      <c r="E309" s="122">
        <f>E310+E311+E312+E313+E314</f>
        <v>3478892.42</v>
      </c>
      <c r="F309" s="122">
        <f>F310+F311+F312+F313</f>
        <v>3478892.42</v>
      </c>
      <c r="G309" s="122">
        <f>G310+G311+G312+G313</f>
        <v>53957.07</v>
      </c>
      <c r="H309" s="122">
        <f>H310+H311+H312+H313</f>
        <v>0</v>
      </c>
      <c r="I309" s="122">
        <f>I310+I311+I312+I313</f>
        <v>3731538.61</v>
      </c>
      <c r="J309" s="122">
        <f>J310+J311+J312+J313</f>
        <v>3723676.07</v>
      </c>
      <c r="K309" s="58"/>
    </row>
    <row r="310" spans="1:11" s="48" customFormat="1" ht="14.25" customHeight="1">
      <c r="A310" s="110"/>
      <c r="B310" s="141"/>
      <c r="C310" s="56" t="s">
        <v>230</v>
      </c>
      <c r="D310" s="45">
        <v>922135</v>
      </c>
      <c r="E310" s="57">
        <f>'Wykonanie 8 2025'!I788+'Wykonanie 8 2025'!I789+'Wykonanie 8 2025'!I791+'Wykonanie 8 2025'!I793+'Wykonanie 8 2025'!I808</f>
        <v>922135</v>
      </c>
      <c r="F310" s="57">
        <v>922135</v>
      </c>
      <c r="G310" s="57">
        <v>31711.65</v>
      </c>
      <c r="H310" s="47">
        <v>0</v>
      </c>
      <c r="I310" s="57">
        <v>982447.91</v>
      </c>
      <c r="J310" s="57">
        <v>982447</v>
      </c>
      <c r="K310" s="58"/>
    </row>
    <row r="311" spans="1:11" s="48" customFormat="1" ht="12.75">
      <c r="A311" s="110"/>
      <c r="B311" s="141"/>
      <c r="C311" s="56" t="s">
        <v>262</v>
      </c>
      <c r="D311" s="45">
        <v>2137484</v>
      </c>
      <c r="E311" s="57">
        <f>'Wykonanie 8 2025'!I810+'Wykonanie 8 2025'!I811</f>
        <v>2159729.42</v>
      </c>
      <c r="F311" s="57">
        <f>2011343.98+148385.44</f>
        <v>2159729.42</v>
      </c>
      <c r="G311" s="57">
        <v>22245.42</v>
      </c>
      <c r="H311" s="47">
        <v>0</v>
      </c>
      <c r="I311" s="57">
        <f>2121286.25+192942.82</f>
        <v>2314229.0699999998</v>
      </c>
      <c r="J311" s="57">
        <v>2314229.0699999998</v>
      </c>
      <c r="K311" s="58"/>
    </row>
    <row r="312" spans="1:11" s="48" customFormat="1" ht="12.75">
      <c r="A312" s="110"/>
      <c r="B312" s="141"/>
      <c r="C312" s="134" t="s">
        <v>263</v>
      </c>
      <c r="D312" s="45">
        <v>8732</v>
      </c>
      <c r="E312" s="57">
        <f>'Wykonanie 8 2025'!I786</f>
        <v>3732</v>
      </c>
      <c r="F312" s="57">
        <v>3732</v>
      </c>
      <c r="G312" s="57">
        <v>0</v>
      </c>
      <c r="H312" s="47">
        <v>0</v>
      </c>
      <c r="I312" s="57">
        <v>8787</v>
      </c>
      <c r="J312" s="57">
        <v>1000</v>
      </c>
      <c r="K312" s="58"/>
    </row>
    <row r="313" spans="1:11" s="48" customFormat="1" ht="25.5">
      <c r="A313" s="110"/>
      <c r="B313" s="141"/>
      <c r="C313" s="56" t="s">
        <v>226</v>
      </c>
      <c r="D313" s="45">
        <v>388296</v>
      </c>
      <c r="E313" s="57">
        <f>'Wykonanie 8 2025'!I794+'Wykonanie 8 2025'!I795+'Wykonanie 8 2025'!I797+'Wykonanie 8 2025'!I798+'Wykonanie 8 2025'!I800+'Wykonanie 8 2025'!I801+'Wykonanie 8 2025'!I802+'Wykonanie 8 2025'!I804+'Wykonanie 8 2025'!I805+'Wykonanie 8 2025'!I807</f>
        <v>393296</v>
      </c>
      <c r="F313" s="57">
        <v>393296</v>
      </c>
      <c r="G313" s="57">
        <v>0</v>
      </c>
      <c r="H313" s="47">
        <v>0</v>
      </c>
      <c r="I313" s="57">
        <v>426074.63</v>
      </c>
      <c r="J313" s="57">
        <v>426000</v>
      </c>
      <c r="K313" s="58"/>
    </row>
    <row r="314" spans="1:11" s="48" customFormat="1" ht="12.75">
      <c r="A314" s="110"/>
      <c r="B314" s="141"/>
      <c r="C314" s="56" t="s">
        <v>264</v>
      </c>
      <c r="D314" s="45">
        <v>0</v>
      </c>
      <c r="E314" s="57">
        <v>0</v>
      </c>
      <c r="F314" s="57">
        <v>0</v>
      </c>
      <c r="G314" s="57">
        <v>0</v>
      </c>
      <c r="H314" s="47">
        <v>0</v>
      </c>
      <c r="I314" s="57">
        <v>0</v>
      </c>
      <c r="J314" s="57">
        <v>0</v>
      </c>
      <c r="K314" s="58"/>
    </row>
    <row r="315" spans="1:11" s="48" customFormat="1" ht="12.75">
      <c r="A315" s="110"/>
      <c r="B315" s="37" t="s">
        <v>272</v>
      </c>
      <c r="C315" s="38" t="s">
        <v>273</v>
      </c>
      <c r="D315" s="39">
        <v>4175019</v>
      </c>
      <c r="E315" s="39">
        <f>E316+E321+E325+E330+E319</f>
        <v>4180945.2</v>
      </c>
      <c r="F315" s="39">
        <f>F316+F321+F325+F330</f>
        <v>4170649.2</v>
      </c>
      <c r="G315" s="39">
        <f>G316+G321+G325+G330</f>
        <v>0</v>
      </c>
      <c r="H315" s="39">
        <f>H316+H321+H325+H330</f>
        <v>0</v>
      </c>
      <c r="I315" s="39">
        <f>I316+I321+I325+I330</f>
        <v>4400588</v>
      </c>
      <c r="J315" s="39">
        <f>J316+J321+J325+J330</f>
        <v>4225630</v>
      </c>
      <c r="K315" s="58"/>
    </row>
    <row r="316" spans="1:11" s="48" customFormat="1" ht="12.75">
      <c r="A316" s="110"/>
      <c r="B316" s="87"/>
      <c r="C316" s="42" t="s">
        <v>231</v>
      </c>
      <c r="D316" s="43">
        <v>0</v>
      </c>
      <c r="E316" s="43">
        <f t="shared" ref="E316:J316" si="87">E317+E318</f>
        <v>0</v>
      </c>
      <c r="F316" s="43">
        <f t="shared" si="87"/>
        <v>0</v>
      </c>
      <c r="G316" s="43">
        <f t="shared" si="87"/>
        <v>0</v>
      </c>
      <c r="H316" s="43">
        <f t="shared" si="87"/>
        <v>0</v>
      </c>
      <c r="I316" s="43">
        <f t="shared" si="87"/>
        <v>0</v>
      </c>
      <c r="J316" s="43">
        <f t="shared" si="87"/>
        <v>0</v>
      </c>
      <c r="K316" s="58"/>
    </row>
    <row r="317" spans="1:11" s="48" customFormat="1" ht="12.75" customHeight="1">
      <c r="A317" s="110"/>
      <c r="B317" s="87"/>
      <c r="C317" s="44" t="s">
        <v>230</v>
      </c>
      <c r="D317" s="45">
        <v>0</v>
      </c>
      <c r="E317" s="46"/>
      <c r="F317" s="46">
        <v>0</v>
      </c>
      <c r="G317" s="46">
        <v>0</v>
      </c>
      <c r="H317" s="46">
        <v>0</v>
      </c>
      <c r="I317" s="46">
        <v>0</v>
      </c>
      <c r="J317" s="46">
        <v>0</v>
      </c>
      <c r="K317" s="58"/>
    </row>
    <row r="318" spans="1:11" s="48" customFormat="1" ht="25.5">
      <c r="A318" s="110"/>
      <c r="B318" s="87"/>
      <c r="C318" s="44" t="s">
        <v>226</v>
      </c>
      <c r="D318" s="45">
        <v>0</v>
      </c>
      <c r="E318" s="46">
        <v>0</v>
      </c>
      <c r="F318" s="46">
        <v>0</v>
      </c>
      <c r="G318" s="46">
        <v>0</v>
      </c>
      <c r="H318" s="46">
        <v>0</v>
      </c>
      <c r="I318" s="46">
        <v>0</v>
      </c>
      <c r="J318" s="46">
        <v>0</v>
      </c>
      <c r="K318" s="58"/>
    </row>
    <row r="319" spans="1:11" s="48" customFormat="1" ht="12.75">
      <c r="A319" s="110"/>
      <c r="B319" s="87"/>
      <c r="C319" s="42" t="s">
        <v>234</v>
      </c>
      <c r="D319" s="43">
        <v>0</v>
      </c>
      <c r="E319" s="43">
        <f t="shared" ref="E319:J319" si="88">E320</f>
        <v>0</v>
      </c>
      <c r="F319" s="43">
        <f t="shared" si="88"/>
        <v>0</v>
      </c>
      <c r="G319" s="43">
        <f t="shared" si="88"/>
        <v>0</v>
      </c>
      <c r="H319" s="43">
        <f t="shared" si="88"/>
        <v>0</v>
      </c>
      <c r="I319" s="43">
        <f t="shared" si="88"/>
        <v>0</v>
      </c>
      <c r="J319" s="43">
        <f t="shared" si="88"/>
        <v>0</v>
      </c>
      <c r="K319" s="58"/>
    </row>
    <row r="320" spans="1:11" s="48" customFormat="1" ht="25.5">
      <c r="A320" s="110"/>
      <c r="B320" s="87"/>
      <c r="C320" s="44" t="s">
        <v>226</v>
      </c>
      <c r="D320" s="45"/>
      <c r="E320" s="46"/>
      <c r="F320" s="46"/>
      <c r="G320" s="46"/>
      <c r="H320" s="46"/>
      <c r="I320" s="46"/>
      <c r="J320" s="46">
        <v>0</v>
      </c>
      <c r="K320" s="58"/>
    </row>
    <row r="321" spans="1:12" s="48" customFormat="1" ht="12.75">
      <c r="A321" s="110"/>
      <c r="B321" s="87"/>
      <c r="C321" s="139" t="s">
        <v>259</v>
      </c>
      <c r="D321" s="43">
        <v>129985</v>
      </c>
      <c r="E321" s="142">
        <f t="shared" ref="E321:J321" si="89">SUM(E322:E324)</f>
        <v>22282</v>
      </c>
      <c r="F321" s="142">
        <f t="shared" si="89"/>
        <v>0</v>
      </c>
      <c r="G321" s="142">
        <f t="shared" si="89"/>
        <v>0</v>
      </c>
      <c r="H321" s="142">
        <f t="shared" si="89"/>
        <v>0</v>
      </c>
      <c r="I321" s="142">
        <f t="shared" si="89"/>
        <v>64702</v>
      </c>
      <c r="J321" s="142">
        <f t="shared" si="89"/>
        <v>64702</v>
      </c>
      <c r="K321" s="58"/>
    </row>
    <row r="322" spans="1:12" s="48" customFormat="1" ht="15.75" customHeight="1">
      <c r="A322" s="110"/>
      <c r="B322" s="87"/>
      <c r="C322" s="44" t="s">
        <v>230</v>
      </c>
      <c r="D322" s="140">
        <v>8866</v>
      </c>
      <c r="E322" s="140">
        <f>'Wykonanie 8 2025'!I816+'Wykonanie 8 2025'!I819</f>
        <v>1250</v>
      </c>
      <c r="F322" s="140">
        <v>0</v>
      </c>
      <c r="G322" s="140">
        <v>0</v>
      </c>
      <c r="H322" s="140">
        <v>0</v>
      </c>
      <c r="I322" s="140">
        <f>8008+1140</f>
        <v>9148</v>
      </c>
      <c r="J322" s="140">
        <v>9148</v>
      </c>
      <c r="K322" s="58"/>
    </row>
    <row r="323" spans="1:12" s="48" customFormat="1" ht="12.75">
      <c r="A323" s="110"/>
      <c r="B323" s="87"/>
      <c r="C323" s="56" t="s">
        <v>262</v>
      </c>
      <c r="D323" s="140">
        <v>121119</v>
      </c>
      <c r="E323" s="140">
        <f>'Wykonanie 8 2025'!I836</f>
        <v>21032</v>
      </c>
      <c r="F323" s="140">
        <v>0</v>
      </c>
      <c r="G323" s="140">
        <v>0</v>
      </c>
      <c r="H323" s="140">
        <v>0</v>
      </c>
      <c r="I323" s="140">
        <v>55554</v>
      </c>
      <c r="J323" s="140">
        <v>55554</v>
      </c>
      <c r="K323" s="58"/>
    </row>
    <row r="324" spans="1:12" s="48" customFormat="1" ht="25.5">
      <c r="A324" s="110"/>
      <c r="B324" s="87"/>
      <c r="C324" s="44" t="s">
        <v>226</v>
      </c>
      <c r="D324" s="140">
        <v>0</v>
      </c>
      <c r="E324" s="140">
        <v>0</v>
      </c>
      <c r="F324" s="140">
        <v>0</v>
      </c>
      <c r="G324" s="140">
        <v>0</v>
      </c>
      <c r="H324" s="140">
        <v>0</v>
      </c>
      <c r="I324" s="140">
        <v>0</v>
      </c>
      <c r="J324" s="140">
        <v>0</v>
      </c>
      <c r="K324" s="58"/>
    </row>
    <row r="325" spans="1:12" s="48" customFormat="1" ht="12.75">
      <c r="A325" s="110"/>
      <c r="B325" s="87"/>
      <c r="C325" s="120" t="s">
        <v>261</v>
      </c>
      <c r="D325" s="121">
        <v>1801019</v>
      </c>
      <c r="E325" s="122">
        <f t="shared" ref="E325:J325" si="90">E326+E327+E328+E329</f>
        <v>1801019</v>
      </c>
      <c r="F325" s="122">
        <f t="shared" si="90"/>
        <v>1813005</v>
      </c>
      <c r="G325" s="122">
        <f t="shared" si="90"/>
        <v>0</v>
      </c>
      <c r="H325" s="122">
        <f t="shared" si="90"/>
        <v>0</v>
      </c>
      <c r="I325" s="122">
        <f t="shared" si="90"/>
        <v>2056428</v>
      </c>
      <c r="J325" s="122">
        <f t="shared" si="90"/>
        <v>1907724</v>
      </c>
      <c r="K325" s="58"/>
    </row>
    <row r="326" spans="1:12" s="48" customFormat="1" ht="14.25" customHeight="1">
      <c r="A326" s="110"/>
      <c r="B326" s="87"/>
      <c r="C326" s="56" t="s">
        <v>230</v>
      </c>
      <c r="D326" s="45">
        <v>465534</v>
      </c>
      <c r="E326" s="57">
        <f>'Wykonanie 8 2025'!I814+'Wykonanie 8 2025'!I815+'Wykonanie 8 2025'!I817+'Wykonanie 8 2025'!I821+'Wykonanie 8 2025'!I833</f>
        <v>462581</v>
      </c>
      <c r="F326" s="57">
        <f>1715299-F327</f>
        <v>449660</v>
      </c>
      <c r="G326" s="123">
        <v>0</v>
      </c>
      <c r="H326" s="123">
        <v>0</v>
      </c>
      <c r="I326" s="57">
        <f>1958704-I327</f>
        <v>515309</v>
      </c>
      <c r="J326" s="57">
        <v>500000</v>
      </c>
      <c r="K326" s="58"/>
      <c r="L326" s="58"/>
    </row>
    <row r="327" spans="1:12" s="48" customFormat="1" ht="12.75">
      <c r="A327" s="110"/>
      <c r="B327" s="87"/>
      <c r="C327" s="56" t="s">
        <v>262</v>
      </c>
      <c r="D327" s="45">
        <v>1240732</v>
      </c>
      <c r="E327" s="57">
        <f>'Wykonanie 8 2025'!I835+'Wykonanie 8 2025'!I838</f>
        <v>1240732</v>
      </c>
      <c r="F327" s="57">
        <f>1164285+101354</f>
        <v>1265639</v>
      </c>
      <c r="G327" s="123"/>
      <c r="H327" s="123"/>
      <c r="I327" s="57">
        <v>1443395</v>
      </c>
      <c r="J327" s="57">
        <v>1310000</v>
      </c>
      <c r="K327" s="58"/>
    </row>
    <row r="328" spans="1:12" s="48" customFormat="1" ht="12.75">
      <c r="A328" s="110"/>
      <c r="B328" s="87"/>
      <c r="C328" s="134" t="s">
        <v>263</v>
      </c>
      <c r="D328" s="45">
        <v>1500</v>
      </c>
      <c r="E328" s="123">
        <f>'Wykonanie 8 2025'!I813</f>
        <v>1500</v>
      </c>
      <c r="F328" s="57">
        <v>1500</v>
      </c>
      <c r="G328" s="123">
        <v>0</v>
      </c>
      <c r="H328" s="123">
        <v>0</v>
      </c>
      <c r="I328" s="57">
        <v>1500</v>
      </c>
      <c r="J328" s="57">
        <v>1500</v>
      </c>
      <c r="K328" s="58"/>
    </row>
    <row r="329" spans="1:12" s="48" customFormat="1" ht="25.5">
      <c r="A329" s="110"/>
      <c r="B329" s="87"/>
      <c r="C329" s="56" t="s">
        <v>226</v>
      </c>
      <c r="D329" s="45">
        <v>93253</v>
      </c>
      <c r="E329" s="57">
        <f>'Wykonanie 8 2025'!I822+'Wykonanie 8 2025'!I825+'Wykonanie 8 2025'!I826+'Wykonanie 8 2025'!I828+'Wykonanie 8 2025'!I830</f>
        <v>96206</v>
      </c>
      <c r="F329" s="57">
        <v>96206</v>
      </c>
      <c r="G329" s="123">
        <v>0</v>
      </c>
      <c r="H329" s="123">
        <v>0</v>
      </c>
      <c r="I329" s="57">
        <v>96224</v>
      </c>
      <c r="J329" s="57">
        <v>96224</v>
      </c>
      <c r="K329" s="58"/>
    </row>
    <row r="330" spans="1:12" s="48" customFormat="1" ht="12.75">
      <c r="A330" s="124"/>
      <c r="B330" s="143"/>
      <c r="C330" s="120" t="s">
        <v>116</v>
      </c>
      <c r="D330" s="121">
        <v>2244015</v>
      </c>
      <c r="E330" s="122">
        <f>E331+E332+E333+E334</f>
        <v>2357644.2000000002</v>
      </c>
      <c r="F330" s="122">
        <f>F331+F332+F333+F334</f>
        <v>2357644.2000000002</v>
      </c>
      <c r="G330" s="122">
        <f>G331+G333+G334</f>
        <v>0</v>
      </c>
      <c r="H330" s="122">
        <f>H331</f>
        <v>0</v>
      </c>
      <c r="I330" s="121">
        <f>I331+I332+I333+I334</f>
        <v>2279458</v>
      </c>
      <c r="J330" s="121">
        <f>J331+J332+J333+J334</f>
        <v>2253204</v>
      </c>
      <c r="K330" s="58"/>
    </row>
    <row r="331" spans="1:12" s="40" customFormat="1" ht="14.25" customHeight="1">
      <c r="A331" s="110"/>
      <c r="B331" s="110"/>
      <c r="C331" s="56" t="s">
        <v>230</v>
      </c>
      <c r="D331" s="378">
        <v>371095</v>
      </c>
      <c r="E331" s="57">
        <f>'Wykonanie 8 2025'!I818+'Wykonanie 8 2025'!I820+'Wykonanie 8 2025'!I832</f>
        <v>378711</v>
      </c>
      <c r="F331" s="57">
        <v>378711</v>
      </c>
      <c r="G331" s="57">
        <v>0</v>
      </c>
      <c r="H331" s="47">
        <v>0</v>
      </c>
      <c r="I331" s="57">
        <v>358704</v>
      </c>
      <c r="J331" s="57">
        <v>358704</v>
      </c>
      <c r="K331" s="61"/>
    </row>
    <row r="332" spans="1:12" s="40" customFormat="1" ht="12.75">
      <c r="A332" s="110"/>
      <c r="B332" s="141"/>
      <c r="C332" s="56" t="s">
        <v>262</v>
      </c>
      <c r="D332" s="378">
        <v>1787903</v>
      </c>
      <c r="E332" s="57">
        <f>'Wykonanie 8 2025'!I834+'Wykonanie 8 2025'!I837</f>
        <v>1887990</v>
      </c>
      <c r="F332" s="57">
        <v>1887990</v>
      </c>
      <c r="G332" s="57">
        <v>64151.839999999997</v>
      </c>
      <c r="H332" s="47">
        <v>0</v>
      </c>
      <c r="I332" s="57">
        <v>1809490</v>
      </c>
      <c r="J332" s="57">
        <v>1800000</v>
      </c>
      <c r="K332" s="61"/>
    </row>
    <row r="333" spans="1:12" s="40" customFormat="1" ht="12.75">
      <c r="A333" s="110"/>
      <c r="B333" s="141"/>
      <c r="C333" s="134" t="s">
        <v>263</v>
      </c>
      <c r="D333" s="378">
        <v>1500</v>
      </c>
      <c r="E333" s="57">
        <f>'Wykonanie 8 2025'!I812</f>
        <v>2874.2</v>
      </c>
      <c r="F333" s="57">
        <v>2874.2</v>
      </c>
      <c r="G333" s="57">
        <v>0</v>
      </c>
      <c r="H333" s="47">
        <v>0</v>
      </c>
      <c r="I333" s="57">
        <v>3000</v>
      </c>
      <c r="J333" s="57">
        <v>1500</v>
      </c>
      <c r="K333" s="61"/>
    </row>
    <row r="334" spans="1:12" s="48" customFormat="1" ht="25.5">
      <c r="A334" s="110"/>
      <c r="B334" s="141"/>
      <c r="C334" s="56" t="s">
        <v>226</v>
      </c>
      <c r="D334" s="378">
        <v>83517</v>
      </c>
      <c r="E334" s="57">
        <f>'Wykonanie 8 2025'!I824+'Wykonanie 8 2025'!I827+'Wykonanie 8 2025'!I829+'Wykonanie 8 2025'!I831</f>
        <v>88069</v>
      </c>
      <c r="F334" s="57">
        <v>88069</v>
      </c>
      <c r="G334" s="57">
        <v>0</v>
      </c>
      <c r="H334" s="47">
        <v>0</v>
      </c>
      <c r="I334" s="57">
        <v>108264</v>
      </c>
      <c r="J334" s="57">
        <v>93000</v>
      </c>
      <c r="K334" s="58"/>
    </row>
    <row r="335" spans="1:12" s="48" customFormat="1">
      <c r="A335" s="100"/>
      <c r="B335" s="37">
        <v>80146</v>
      </c>
      <c r="C335" s="38" t="s">
        <v>274</v>
      </c>
      <c r="D335" s="379">
        <v>275624</v>
      </c>
      <c r="E335" s="39">
        <f t="shared" ref="E335:J335" si="91">E336</f>
        <v>275540.08</v>
      </c>
      <c r="F335" s="39">
        <f t="shared" si="91"/>
        <v>0</v>
      </c>
      <c r="G335" s="39">
        <f t="shared" si="91"/>
        <v>0</v>
      </c>
      <c r="H335" s="39">
        <f t="shared" si="91"/>
        <v>0</v>
      </c>
      <c r="I335" s="39">
        <f t="shared" si="91"/>
        <v>160055</v>
      </c>
      <c r="J335" s="39">
        <f t="shared" si="91"/>
        <v>245055</v>
      </c>
      <c r="K335" s="58"/>
    </row>
    <row r="336" spans="1:12" s="48" customFormat="1">
      <c r="A336" s="109"/>
      <c r="B336" s="87"/>
      <c r="C336" s="139" t="s">
        <v>259</v>
      </c>
      <c r="D336" s="43">
        <v>275624</v>
      </c>
      <c r="E336" s="43">
        <f t="shared" ref="E336:J336" si="92">E337+E338</f>
        <v>275540.08</v>
      </c>
      <c r="F336" s="43">
        <f t="shared" si="92"/>
        <v>0</v>
      </c>
      <c r="G336" s="43">
        <f t="shared" si="92"/>
        <v>0</v>
      </c>
      <c r="H336" s="43">
        <f t="shared" si="92"/>
        <v>0</v>
      </c>
      <c r="I336" s="43">
        <f t="shared" si="92"/>
        <v>160055</v>
      </c>
      <c r="J336" s="43">
        <f t="shared" si="92"/>
        <v>245055</v>
      </c>
      <c r="K336" s="58"/>
    </row>
    <row r="337" spans="1:11" s="48" customFormat="1" ht="15" customHeight="1">
      <c r="A337" s="647"/>
      <c r="B337" s="111"/>
      <c r="C337" s="44" t="s">
        <v>230</v>
      </c>
      <c r="D337" s="45">
        <v>0</v>
      </c>
      <c r="E337" s="45">
        <v>0</v>
      </c>
      <c r="F337" s="46">
        <v>0</v>
      </c>
      <c r="G337" s="46">
        <v>0</v>
      </c>
      <c r="H337" s="46">
        <v>0</v>
      </c>
      <c r="I337" s="46">
        <v>0</v>
      </c>
      <c r="J337" s="46">
        <v>0</v>
      </c>
      <c r="K337" s="58"/>
    </row>
    <row r="338" spans="1:11" s="48" customFormat="1" ht="25.5">
      <c r="A338" s="647"/>
      <c r="B338" s="111"/>
      <c r="C338" s="44" t="s">
        <v>226</v>
      </c>
      <c r="D338" s="45">
        <v>275624</v>
      </c>
      <c r="E338" s="45">
        <f>'Wykonanie 8 2025'!I839+'Wykonanie 8 2025'!I840+'Wykonanie 8 2025'!I841+'Wykonanie 8 2025'!I842+'Wykonanie 8 2025'!I843+'Wykonanie 8 2025'!I844+'Wykonanie 8 2025'!I845+'Wykonanie 8 2025'!I846+'Wykonanie 8 2025'!I847+'Wykonanie 8 2025'!I848+'Wykonanie 8 2025'!I849+'Wykonanie 8 2025'!I850+'Wykonanie 8 2025'!I851+'Wykonanie 8 2025'!I852+'Wykonanie 8 2025'!I853+'Wykonanie 8 2025'!I854+'Wykonanie 8 2025'!I855+'Wykonanie 8 2025'!I856+'Wykonanie 8 2025'!I857+'Wykonanie 8 2025'!I858+'Wykonanie 8 2025'!I859+'Wykonanie 8 2025'!I860+'Wykonanie 8 2025'!I861+'Wykonanie 8 2025'!I862+'Wykonanie 8 2025'!I863</f>
        <v>275540.08</v>
      </c>
      <c r="F338" s="46">
        <v>0</v>
      </c>
      <c r="G338" s="46">
        <v>0</v>
      </c>
      <c r="H338" s="46">
        <v>0</v>
      </c>
      <c r="I338" s="46">
        <v>160055</v>
      </c>
      <c r="J338" s="46">
        <v>245055</v>
      </c>
      <c r="K338" s="58"/>
    </row>
    <row r="339" spans="1:11" s="48" customFormat="1" ht="78.75">
      <c r="A339" s="647"/>
      <c r="B339" s="37" t="s">
        <v>275</v>
      </c>
      <c r="C339" s="144" t="s">
        <v>276</v>
      </c>
      <c r="D339" s="39">
        <v>2324146</v>
      </c>
      <c r="E339" s="39">
        <f>E340+E342+E345+E349</f>
        <v>2330310</v>
      </c>
      <c r="F339" s="39">
        <f t="shared" ref="F339:J339" si="93">F340+F342+F345+F349</f>
        <v>2334594</v>
      </c>
      <c r="G339" s="39">
        <f t="shared" si="93"/>
        <v>0</v>
      </c>
      <c r="H339" s="39">
        <f t="shared" si="93"/>
        <v>0</v>
      </c>
      <c r="I339" s="39">
        <f t="shared" si="93"/>
        <v>1342874</v>
      </c>
      <c r="J339" s="39">
        <f t="shared" si="93"/>
        <v>1342874</v>
      </c>
      <c r="K339" s="58"/>
    </row>
    <row r="340" spans="1:11" s="48" customFormat="1" ht="12.75">
      <c r="A340" s="647"/>
      <c r="B340" s="633"/>
      <c r="C340" s="117" t="s">
        <v>259</v>
      </c>
      <c r="D340" s="43">
        <v>188522</v>
      </c>
      <c r="E340" s="43">
        <f t="shared" ref="E340:J340" si="94">E341</f>
        <v>188522</v>
      </c>
      <c r="F340" s="43">
        <f t="shared" si="94"/>
        <v>190065</v>
      </c>
      <c r="G340" s="43">
        <f t="shared" si="94"/>
        <v>0</v>
      </c>
      <c r="H340" s="43">
        <f t="shared" si="94"/>
        <v>0</v>
      </c>
      <c r="I340" s="43">
        <f t="shared" si="94"/>
        <v>203370</v>
      </c>
      <c r="J340" s="43">
        <f t="shared" si="94"/>
        <v>203370</v>
      </c>
      <c r="K340" s="58"/>
    </row>
    <row r="341" spans="1:11" s="40" customFormat="1" ht="12.75">
      <c r="A341" s="647"/>
      <c r="B341" s="632"/>
      <c r="C341" s="145" t="s">
        <v>268</v>
      </c>
      <c r="D341" s="45">
        <v>188522</v>
      </c>
      <c r="E341" s="45">
        <f>'Wykonanie 8 2025'!I864+'Wykonanie 8 2025'!I865</f>
        <v>188522</v>
      </c>
      <c r="F341" s="46">
        <v>190065</v>
      </c>
      <c r="G341" s="46">
        <v>0</v>
      </c>
      <c r="H341" s="46">
        <v>0</v>
      </c>
      <c r="I341" s="46">
        <v>203370</v>
      </c>
      <c r="J341" s="46">
        <v>203370</v>
      </c>
      <c r="K341" s="61"/>
    </row>
    <row r="342" spans="1:11" s="40" customFormat="1" ht="12.75">
      <c r="A342" s="647"/>
      <c r="B342" s="632"/>
      <c r="C342" s="138" t="s">
        <v>123</v>
      </c>
      <c r="D342" s="121">
        <v>2027815</v>
      </c>
      <c r="E342" s="121">
        <f>E343+E344</f>
        <v>2027815</v>
      </c>
      <c r="F342" s="121">
        <f>F343+F344</f>
        <v>2027815</v>
      </c>
      <c r="G342" s="121">
        <v>0</v>
      </c>
      <c r="H342" s="121">
        <f>H344</f>
        <v>0</v>
      </c>
      <c r="I342" s="121">
        <f>I343+I344</f>
        <v>1031904</v>
      </c>
      <c r="J342" s="121">
        <f>J343+J344</f>
        <v>1031904</v>
      </c>
      <c r="K342" s="61"/>
    </row>
    <row r="343" spans="1:11" s="40" customFormat="1" ht="12.75">
      <c r="A343" s="647"/>
      <c r="B343" s="632"/>
      <c r="C343" s="146" t="s">
        <v>262</v>
      </c>
      <c r="D343" s="45">
        <v>1694931</v>
      </c>
      <c r="E343" s="45">
        <f>'Wykonanie 8 2025'!I872+'Wykonanie 8 2025'!I876</f>
        <v>1694931</v>
      </c>
      <c r="F343" s="45">
        <f>1575934+118997</f>
        <v>1694931</v>
      </c>
      <c r="G343" s="46">
        <v>0</v>
      </c>
      <c r="H343" s="46">
        <v>0</v>
      </c>
      <c r="I343" s="46">
        <f>826866+35642</f>
        <v>862508</v>
      </c>
      <c r="J343" s="46">
        <v>862508</v>
      </c>
      <c r="K343" s="61"/>
    </row>
    <row r="344" spans="1:11" s="40" customFormat="1" ht="11.25" customHeight="1">
      <c r="A344" s="647"/>
      <c r="B344" s="632"/>
      <c r="C344" s="146" t="s">
        <v>230</v>
      </c>
      <c r="D344" s="45">
        <v>332884</v>
      </c>
      <c r="E344" s="46">
        <f>'Wykonanie 8 2025'!I866+'Wykonanie 8 2025'!I869</f>
        <v>332884</v>
      </c>
      <c r="F344" s="46">
        <f>E344</f>
        <v>332884</v>
      </c>
      <c r="G344" s="46">
        <v>0</v>
      </c>
      <c r="H344" s="46">
        <v>0</v>
      </c>
      <c r="I344" s="46">
        <f>148265+21131</f>
        <v>169396</v>
      </c>
      <c r="J344" s="46">
        <v>169396</v>
      </c>
      <c r="K344" s="61"/>
    </row>
    <row r="345" spans="1:11" s="40" customFormat="1" ht="12.75">
      <c r="A345" s="647"/>
      <c r="B345" s="632"/>
      <c r="C345" s="138" t="s">
        <v>269</v>
      </c>
      <c r="D345" s="121">
        <v>98149</v>
      </c>
      <c r="E345" s="121">
        <f t="shared" ref="E345:J345" si="95">E346+E347+E348</f>
        <v>104313</v>
      </c>
      <c r="F345" s="121">
        <f t="shared" si="95"/>
        <v>104313</v>
      </c>
      <c r="G345" s="121">
        <f t="shared" si="95"/>
        <v>0</v>
      </c>
      <c r="H345" s="121">
        <f t="shared" si="95"/>
        <v>0</v>
      </c>
      <c r="I345" s="121">
        <f t="shared" si="95"/>
        <v>89958</v>
      </c>
      <c r="J345" s="121">
        <f t="shared" si="95"/>
        <v>89958</v>
      </c>
      <c r="K345" s="61"/>
    </row>
    <row r="346" spans="1:11" s="40" customFormat="1" ht="12.75">
      <c r="A346" s="647"/>
      <c r="B346" s="632"/>
      <c r="C346" s="146" t="s">
        <v>262</v>
      </c>
      <c r="D346" s="45">
        <v>82099</v>
      </c>
      <c r="E346" s="45">
        <f>'Wykonanie 8 2025'!I873+'Wykonanie 8 2025'!I877</f>
        <v>87251</v>
      </c>
      <c r="F346" s="45">
        <f>80838+6413</f>
        <v>87251</v>
      </c>
      <c r="G346" s="46">
        <v>0</v>
      </c>
      <c r="H346" s="46">
        <v>0</v>
      </c>
      <c r="I346" s="46">
        <f>68319+6872</f>
        <v>75191</v>
      </c>
      <c r="J346" s="46">
        <v>75191</v>
      </c>
      <c r="K346" s="61"/>
    </row>
    <row r="347" spans="1:11" s="40" customFormat="1" ht="12" customHeight="1">
      <c r="A347" s="647"/>
      <c r="B347" s="632"/>
      <c r="C347" s="146" t="s">
        <v>230</v>
      </c>
      <c r="D347" s="45">
        <v>16050</v>
      </c>
      <c r="E347" s="45">
        <f>'Wykonanie 8 2025'!I870+'Wykonanie 8 2025'!I867</f>
        <v>17062</v>
      </c>
      <c r="F347" s="45">
        <f>14926+2136</f>
        <v>17062</v>
      </c>
      <c r="G347" s="46">
        <v>0</v>
      </c>
      <c r="H347" s="46">
        <v>0</v>
      </c>
      <c r="I347" s="46">
        <f>12925+1842</f>
        <v>14767</v>
      </c>
      <c r="J347" s="46">
        <v>14767</v>
      </c>
      <c r="K347" s="61"/>
    </row>
    <row r="348" spans="1:11" s="40" customFormat="1" ht="25.5">
      <c r="A348" s="647"/>
      <c r="B348" s="632"/>
      <c r="C348" s="44" t="s">
        <v>226</v>
      </c>
      <c r="D348" s="45">
        <v>0</v>
      </c>
      <c r="E348" s="45">
        <v>0</v>
      </c>
      <c r="F348" s="45">
        <v>0</v>
      </c>
      <c r="G348" s="46">
        <v>0</v>
      </c>
      <c r="H348" s="46">
        <v>0</v>
      </c>
      <c r="I348" s="46">
        <v>0</v>
      </c>
      <c r="J348" s="46">
        <f t="shared" ref="J348" si="96">I348</f>
        <v>0</v>
      </c>
      <c r="K348" s="61"/>
    </row>
    <row r="349" spans="1:11" s="40" customFormat="1" ht="12.75">
      <c r="A349" s="647"/>
      <c r="B349" s="632"/>
      <c r="C349" s="138" t="s">
        <v>277</v>
      </c>
      <c r="D349" s="121">
        <v>9660</v>
      </c>
      <c r="E349" s="121">
        <f t="shared" ref="E349:J349" si="97">E350+E351</f>
        <v>9660</v>
      </c>
      <c r="F349" s="121">
        <f t="shared" si="97"/>
        <v>12401</v>
      </c>
      <c r="G349" s="121">
        <f t="shared" si="97"/>
        <v>0</v>
      </c>
      <c r="H349" s="121">
        <f t="shared" si="97"/>
        <v>0</v>
      </c>
      <c r="I349" s="121">
        <f t="shared" si="97"/>
        <v>17642</v>
      </c>
      <c r="J349" s="121">
        <f t="shared" si="97"/>
        <v>17642</v>
      </c>
      <c r="K349" s="61"/>
    </row>
    <row r="350" spans="1:11" s="40" customFormat="1" ht="12.75">
      <c r="A350" s="647"/>
      <c r="B350" s="632"/>
      <c r="C350" s="146" t="s">
        <v>262</v>
      </c>
      <c r="D350" s="45">
        <v>8080</v>
      </c>
      <c r="E350" s="45">
        <f>'Wykonanie 8 2025'!I875+'Wykonanie 8 2025'!I874</f>
        <v>8080</v>
      </c>
      <c r="F350" s="45">
        <f>8519+1853</f>
        <v>10372</v>
      </c>
      <c r="G350" s="46">
        <v>0</v>
      </c>
      <c r="H350" s="46">
        <v>0</v>
      </c>
      <c r="I350" s="46">
        <f>14031+725</f>
        <v>14756</v>
      </c>
      <c r="J350" s="46">
        <v>14756</v>
      </c>
      <c r="K350" s="61"/>
    </row>
    <row r="351" spans="1:11" s="40" customFormat="1" ht="13.5" customHeight="1">
      <c r="A351" s="647"/>
      <c r="B351" s="636"/>
      <c r="C351" s="146" t="s">
        <v>230</v>
      </c>
      <c r="D351" s="45">
        <v>1580</v>
      </c>
      <c r="E351" s="45">
        <f>'Wykonanie 8 2025'!I868+'Wykonanie 8 2025'!I871</f>
        <v>1580</v>
      </c>
      <c r="F351" s="45">
        <f>12401-F350</f>
        <v>2029</v>
      </c>
      <c r="G351" s="46">
        <v>0</v>
      </c>
      <c r="H351" s="46">
        <v>0</v>
      </c>
      <c r="I351" s="46">
        <f>17642-I350</f>
        <v>2886</v>
      </c>
      <c r="J351" s="46">
        <v>2886</v>
      </c>
      <c r="K351" s="61"/>
    </row>
    <row r="352" spans="1:11" s="40" customFormat="1" ht="51">
      <c r="A352" s="647"/>
      <c r="B352" s="37" t="s">
        <v>346</v>
      </c>
      <c r="C352" s="284" t="s">
        <v>347</v>
      </c>
      <c r="D352" s="39">
        <v>0</v>
      </c>
      <c r="E352" s="39">
        <f t="shared" ref="E352:J352" si="98">E353</f>
        <v>148.5</v>
      </c>
      <c r="F352" s="39">
        <f t="shared" si="98"/>
        <v>0</v>
      </c>
      <c r="G352" s="39">
        <f t="shared" si="98"/>
        <v>0</v>
      </c>
      <c r="H352" s="39">
        <f t="shared" si="98"/>
        <v>0</v>
      </c>
      <c r="I352" s="39">
        <f t="shared" si="98"/>
        <v>0</v>
      </c>
      <c r="J352" s="39">
        <f t="shared" si="98"/>
        <v>0</v>
      </c>
      <c r="K352" s="61"/>
    </row>
    <row r="353" spans="1:14" s="40" customFormat="1" ht="12.75">
      <c r="A353" s="647"/>
      <c r="B353" s="81"/>
      <c r="C353" s="120" t="s">
        <v>265</v>
      </c>
      <c r="D353" s="121">
        <v>0</v>
      </c>
      <c r="E353" s="121">
        <f t="shared" ref="E353:J353" si="99">E354</f>
        <v>148.5</v>
      </c>
      <c r="F353" s="121">
        <f t="shared" si="99"/>
        <v>0</v>
      </c>
      <c r="G353" s="121">
        <f t="shared" si="99"/>
        <v>0</v>
      </c>
      <c r="H353" s="121">
        <f t="shared" si="99"/>
        <v>0</v>
      </c>
      <c r="I353" s="121">
        <f t="shared" si="99"/>
        <v>0</v>
      </c>
      <c r="J353" s="121">
        <f t="shared" si="99"/>
        <v>0</v>
      </c>
      <c r="K353" s="61"/>
    </row>
    <row r="354" spans="1:14" s="40" customFormat="1" ht="25.5">
      <c r="A354" s="647"/>
      <c r="B354" s="81"/>
      <c r="C354" s="44" t="s">
        <v>226</v>
      </c>
      <c r="D354" s="45">
        <v>0</v>
      </c>
      <c r="E354" s="45">
        <f>'Wykonanie 8 2025'!I885</f>
        <v>148.5</v>
      </c>
      <c r="F354" s="45">
        <v>0</v>
      </c>
      <c r="G354" s="46">
        <v>0</v>
      </c>
      <c r="H354" s="46">
        <v>0</v>
      </c>
      <c r="I354" s="46">
        <v>0</v>
      </c>
      <c r="J354" s="46">
        <v>0</v>
      </c>
      <c r="K354" s="61"/>
    </row>
    <row r="355" spans="1:14" s="48" customFormat="1" ht="12.75">
      <c r="A355" s="647"/>
      <c r="B355" s="37">
        <v>80195</v>
      </c>
      <c r="C355" s="83" t="s">
        <v>45</v>
      </c>
      <c r="D355" s="39">
        <v>425994</v>
      </c>
      <c r="E355" s="39">
        <f>E356+E361+E363+E365+E369+E371+E373+E378+E380</f>
        <v>3277764.68</v>
      </c>
      <c r="F355" s="39">
        <f>F356+F361+F363+F365+F369+F371+F378+F380</f>
        <v>62031</v>
      </c>
      <c r="G355" s="39">
        <f>G356+G361+G363+G365+G369+G371+G378+G380</f>
        <v>0</v>
      </c>
      <c r="H355" s="39">
        <f>H356+H361+H363+H365+H369+H371+H378+H380</f>
        <v>0</v>
      </c>
      <c r="I355" s="39">
        <f>I356+I365+I374+I377+I380</f>
        <v>2308012.69</v>
      </c>
      <c r="J355" s="39">
        <f>J356+J361+J363+J365+J369+J371+J378+J380+J373</f>
        <v>2297012</v>
      </c>
      <c r="K355" s="58"/>
    </row>
    <row r="356" spans="1:14" s="48" customFormat="1" ht="12.75">
      <c r="A356" s="647"/>
      <c r="B356" s="633"/>
      <c r="C356" s="117" t="s">
        <v>259</v>
      </c>
      <c r="D356" s="43">
        <f>D357+D358+D359</f>
        <v>425594</v>
      </c>
      <c r="E356" s="43">
        <f t="shared" ref="E356:J356" si="100">E357+E358+E359</f>
        <v>155326</v>
      </c>
      <c r="F356" s="43">
        <f t="shared" si="100"/>
        <v>0</v>
      </c>
      <c r="G356" s="43">
        <f t="shared" si="100"/>
        <v>0</v>
      </c>
      <c r="H356" s="43">
        <f t="shared" si="100"/>
        <v>0</v>
      </c>
      <c r="I356" s="43">
        <f t="shared" si="100"/>
        <v>442397</v>
      </c>
      <c r="J356" s="43">
        <f t="shared" si="100"/>
        <v>431397</v>
      </c>
      <c r="K356" s="58"/>
    </row>
    <row r="357" spans="1:14" s="18" customFormat="1" ht="12.75" customHeight="1">
      <c r="A357" s="647"/>
      <c r="B357" s="632"/>
      <c r="C357" s="44" t="s">
        <v>230</v>
      </c>
      <c r="D357" s="45">
        <v>4400</v>
      </c>
      <c r="E357" s="45">
        <f>'Wykonanie 8 2025'!I909</f>
        <v>4400</v>
      </c>
      <c r="F357" s="46">
        <v>0</v>
      </c>
      <c r="G357" s="46">
        <v>0</v>
      </c>
      <c r="H357" s="46">
        <v>0</v>
      </c>
      <c r="I357" s="46">
        <f>6160+11000</f>
        <v>17160</v>
      </c>
      <c r="J357" s="46">
        <v>6160</v>
      </c>
      <c r="K357" s="28"/>
    </row>
    <row r="358" spans="1:14" s="18" customFormat="1" ht="12.75">
      <c r="A358" s="647"/>
      <c r="B358" s="632"/>
      <c r="C358" s="131" t="s">
        <v>263</v>
      </c>
      <c r="D358" s="45">
        <v>103360</v>
      </c>
      <c r="E358" s="45">
        <f>'Wykonanie 8 2025'!I888</f>
        <v>103360</v>
      </c>
      <c r="F358" s="46">
        <v>0</v>
      </c>
      <c r="G358" s="46">
        <v>0</v>
      </c>
      <c r="H358" s="46">
        <v>0</v>
      </c>
      <c r="I358" s="46">
        <v>105201</v>
      </c>
      <c r="J358" s="46">
        <v>105201</v>
      </c>
      <c r="K358" s="28"/>
    </row>
    <row r="359" spans="1:14" s="18" customFormat="1" ht="25.5">
      <c r="A359" s="647"/>
      <c r="B359" s="632"/>
      <c r="C359" s="44" t="s">
        <v>226</v>
      </c>
      <c r="D359" s="45">
        <v>317834</v>
      </c>
      <c r="E359" s="45">
        <f>'Wykonanie 8 2025'!I913+'Wykonanie 8 2025'!I917+'Wykonanie 8 2025'!I928</f>
        <v>47566</v>
      </c>
      <c r="F359" s="46">
        <v>0</v>
      </c>
      <c r="G359" s="46">
        <v>0</v>
      </c>
      <c r="H359" s="46">
        <v>0</v>
      </c>
      <c r="I359" s="46">
        <f>28500+291536</f>
        <v>320036</v>
      </c>
      <c r="J359" s="46">
        <v>320036</v>
      </c>
      <c r="K359" s="28"/>
    </row>
    <row r="360" spans="1:14" s="18" customFormat="1" ht="12.75">
      <c r="A360" s="647"/>
      <c r="B360" s="632"/>
      <c r="C360" s="146" t="s">
        <v>262</v>
      </c>
      <c r="D360" s="45"/>
      <c r="E360" s="45">
        <v>0</v>
      </c>
      <c r="F360" s="46">
        <v>0</v>
      </c>
      <c r="G360" s="46">
        <v>0</v>
      </c>
      <c r="H360" s="46">
        <v>0</v>
      </c>
      <c r="I360" s="46">
        <v>0</v>
      </c>
      <c r="J360" s="46">
        <v>0</v>
      </c>
      <c r="K360" s="28"/>
    </row>
    <row r="361" spans="1:14" s="18" customFormat="1" ht="12.75">
      <c r="A361" s="647"/>
      <c r="B361" s="632"/>
      <c r="C361" s="120" t="s">
        <v>261</v>
      </c>
      <c r="D361" s="121">
        <v>0</v>
      </c>
      <c r="E361" s="121">
        <f t="shared" ref="E361:I361" si="101">E362</f>
        <v>25109</v>
      </c>
      <c r="F361" s="121">
        <f t="shared" si="101"/>
        <v>0</v>
      </c>
      <c r="G361" s="121">
        <f t="shared" si="101"/>
        <v>0</v>
      </c>
      <c r="H361" s="121">
        <f t="shared" si="101"/>
        <v>0</v>
      </c>
      <c r="I361" s="121">
        <f t="shared" si="101"/>
        <v>0</v>
      </c>
      <c r="J361" s="121">
        <v>0</v>
      </c>
      <c r="K361" s="28"/>
    </row>
    <row r="362" spans="1:14" s="18" customFormat="1" ht="22.5">
      <c r="A362" s="647"/>
      <c r="B362" s="632"/>
      <c r="C362" s="144" t="s">
        <v>226</v>
      </c>
      <c r="D362" s="45">
        <v>0</v>
      </c>
      <c r="E362" s="45">
        <f>'Wykonanie 8 2025'!I931</f>
        <v>25109</v>
      </c>
      <c r="F362" s="46">
        <v>0</v>
      </c>
      <c r="G362" s="46">
        <v>0</v>
      </c>
      <c r="H362" s="46">
        <v>0</v>
      </c>
      <c r="I362" s="46">
        <v>0</v>
      </c>
      <c r="J362" s="46">
        <v>0</v>
      </c>
      <c r="K362" s="28"/>
    </row>
    <row r="363" spans="1:14" s="18" customFormat="1" ht="12.75">
      <c r="A363" s="647"/>
      <c r="B363" s="632"/>
      <c r="C363" s="120" t="s">
        <v>271</v>
      </c>
      <c r="D363" s="121">
        <v>0</v>
      </c>
      <c r="E363" s="121">
        <f t="shared" ref="E363:I363" si="102">E364</f>
        <v>6848</v>
      </c>
      <c r="F363" s="121">
        <f t="shared" si="102"/>
        <v>0</v>
      </c>
      <c r="G363" s="121">
        <f t="shared" si="102"/>
        <v>0</v>
      </c>
      <c r="H363" s="121">
        <f t="shared" si="102"/>
        <v>0</v>
      </c>
      <c r="I363" s="121">
        <f t="shared" si="102"/>
        <v>0</v>
      </c>
      <c r="J363" s="121">
        <v>0</v>
      </c>
      <c r="K363" s="28"/>
    </row>
    <row r="364" spans="1:14" s="18" customFormat="1" ht="22.5">
      <c r="A364" s="647"/>
      <c r="B364" s="632"/>
      <c r="C364" s="144" t="s">
        <v>226</v>
      </c>
      <c r="D364" s="45">
        <v>0</v>
      </c>
      <c r="E364" s="45">
        <f>'Wykonanie 8 2025'!I932</f>
        <v>6848</v>
      </c>
      <c r="F364" s="46">
        <v>0</v>
      </c>
      <c r="G364" s="46">
        <v>0</v>
      </c>
      <c r="H364" s="46">
        <v>0</v>
      </c>
      <c r="I364" s="46">
        <v>0</v>
      </c>
      <c r="J364" s="46">
        <f>J365</f>
        <v>700</v>
      </c>
      <c r="K364" s="28"/>
      <c r="N364" s="147"/>
    </row>
    <row r="365" spans="1:14" s="18" customFormat="1" ht="12.75">
      <c r="A365" s="647"/>
      <c r="B365" s="632"/>
      <c r="C365" s="138" t="s">
        <v>269</v>
      </c>
      <c r="D365" s="121">
        <v>400</v>
      </c>
      <c r="E365" s="121">
        <f>E366+E367+E368</f>
        <v>62031</v>
      </c>
      <c r="F365" s="121">
        <f t="shared" ref="F365:H365" si="103">F368</f>
        <v>62031</v>
      </c>
      <c r="G365" s="121">
        <f t="shared" si="103"/>
        <v>0</v>
      </c>
      <c r="H365" s="121">
        <f t="shared" si="103"/>
        <v>0</v>
      </c>
      <c r="I365" s="121">
        <f>I368</f>
        <v>700</v>
      </c>
      <c r="J365" s="121">
        <v>700</v>
      </c>
      <c r="K365" s="28"/>
      <c r="N365" s="148"/>
    </row>
    <row r="366" spans="1:14" s="18" customFormat="1" ht="25.5">
      <c r="A366" s="647"/>
      <c r="B366" s="632"/>
      <c r="C366" s="44" t="s">
        <v>230</v>
      </c>
      <c r="D366" s="45">
        <v>0</v>
      </c>
      <c r="E366" s="45">
        <v>0</v>
      </c>
      <c r="F366" s="45">
        <v>0</v>
      </c>
      <c r="G366" s="45">
        <v>0</v>
      </c>
      <c r="H366" s="45">
        <v>0</v>
      </c>
      <c r="I366" s="45">
        <v>0</v>
      </c>
      <c r="J366" s="45">
        <v>0</v>
      </c>
      <c r="K366" s="28"/>
      <c r="N366" s="148"/>
    </row>
    <row r="367" spans="1:14" s="18" customFormat="1" ht="12.75">
      <c r="A367" s="647"/>
      <c r="B367" s="632"/>
      <c r="C367" s="44" t="s">
        <v>262</v>
      </c>
      <c r="D367" s="45">
        <v>0</v>
      </c>
      <c r="E367" s="45">
        <v>0</v>
      </c>
      <c r="F367" s="45">
        <v>0</v>
      </c>
      <c r="G367" s="45"/>
      <c r="H367" s="45"/>
      <c r="I367" s="45">
        <v>0</v>
      </c>
      <c r="J367" s="45">
        <v>0</v>
      </c>
      <c r="K367" s="28"/>
      <c r="N367" s="148"/>
    </row>
    <row r="368" spans="1:14" s="18" customFormat="1" ht="25.5">
      <c r="A368" s="647"/>
      <c r="B368" s="632"/>
      <c r="C368" s="44" t="s">
        <v>226</v>
      </c>
      <c r="D368" s="45">
        <v>400</v>
      </c>
      <c r="E368" s="45">
        <f>'Wykonanie 8 2025'!I914+'Wykonanie 8 2025'!I930</f>
        <v>62031</v>
      </c>
      <c r="F368" s="45">
        <f>E368</f>
        <v>62031</v>
      </c>
      <c r="G368" s="45">
        <v>0</v>
      </c>
      <c r="H368" s="45">
        <v>0</v>
      </c>
      <c r="I368" s="45">
        <v>700</v>
      </c>
      <c r="J368" s="45"/>
      <c r="K368" s="28"/>
    </row>
    <row r="369" spans="1:15" s="18" customFormat="1" ht="12.75">
      <c r="A369" s="647"/>
      <c r="B369" s="632"/>
      <c r="C369" s="120" t="s">
        <v>123</v>
      </c>
      <c r="D369" s="121">
        <v>0</v>
      </c>
      <c r="E369" s="121">
        <f>E370</f>
        <v>107284</v>
      </c>
      <c r="F369" s="121">
        <f>F370</f>
        <v>0</v>
      </c>
      <c r="G369" s="121">
        <f t="shared" ref="G369:J369" si="104">G370</f>
        <v>0</v>
      </c>
      <c r="H369" s="121">
        <f t="shared" si="104"/>
        <v>0</v>
      </c>
      <c r="I369" s="121">
        <f t="shared" si="104"/>
        <v>0</v>
      </c>
      <c r="J369" s="121">
        <f t="shared" si="104"/>
        <v>0</v>
      </c>
      <c r="K369" s="28"/>
      <c r="L369" s="28"/>
    </row>
    <row r="370" spans="1:15" s="18" customFormat="1" ht="25.5">
      <c r="A370" s="647"/>
      <c r="B370" s="632"/>
      <c r="C370" s="44" t="s">
        <v>226</v>
      </c>
      <c r="D370" s="45">
        <v>0</v>
      </c>
      <c r="E370" s="45">
        <f>'Wykonanie 8 2025'!I926</f>
        <v>107284</v>
      </c>
      <c r="F370" s="45">
        <v>0</v>
      </c>
      <c r="G370" s="45">
        <v>0</v>
      </c>
      <c r="H370" s="45">
        <v>0</v>
      </c>
      <c r="I370" s="45">
        <v>0</v>
      </c>
      <c r="J370" s="45">
        <v>0</v>
      </c>
      <c r="K370" s="28"/>
      <c r="L370" s="149"/>
      <c r="M370" s="147"/>
      <c r="O370" s="28"/>
    </row>
    <row r="371" spans="1:15" s="18" customFormat="1" ht="12.75">
      <c r="A371" s="69"/>
      <c r="B371" s="632"/>
      <c r="C371" s="120" t="s">
        <v>116</v>
      </c>
      <c r="D371" s="121">
        <v>0</v>
      </c>
      <c r="E371" s="121">
        <f>E372</f>
        <v>31957</v>
      </c>
      <c r="F371" s="121">
        <f>F372</f>
        <v>0</v>
      </c>
      <c r="G371" s="121">
        <f t="shared" ref="G371:J371" si="105">G372</f>
        <v>0</v>
      </c>
      <c r="H371" s="121">
        <f t="shared" si="105"/>
        <v>0</v>
      </c>
      <c r="I371" s="121">
        <f t="shared" si="105"/>
        <v>0</v>
      </c>
      <c r="J371" s="121">
        <f t="shared" si="105"/>
        <v>0</v>
      </c>
      <c r="K371" s="28"/>
    </row>
    <row r="372" spans="1:15" s="18" customFormat="1" ht="22.5">
      <c r="A372" s="69"/>
      <c r="B372" s="632"/>
      <c r="C372" s="144" t="s">
        <v>226</v>
      </c>
      <c r="D372" s="45">
        <v>0</v>
      </c>
      <c r="E372" s="45">
        <f>'Wykonanie 8 2025'!I929</f>
        <v>31957</v>
      </c>
      <c r="F372" s="46"/>
      <c r="G372" s="46"/>
      <c r="H372" s="46"/>
      <c r="I372" s="46"/>
      <c r="J372" s="46"/>
      <c r="K372" s="28"/>
      <c r="L372" s="28"/>
    </row>
    <row r="373" spans="1:15" s="18" customFormat="1" ht="25.5">
      <c r="A373" s="69"/>
      <c r="B373" s="632"/>
      <c r="C373" s="363" t="s">
        <v>278</v>
      </c>
      <c r="D373" s="364">
        <f t="shared" ref="D373:J373" si="106">D374+D375+D376+D377</f>
        <v>0</v>
      </c>
      <c r="E373" s="364">
        <f t="shared" si="106"/>
        <v>2275919.6800000002</v>
      </c>
      <c r="F373" s="364">
        <f t="shared" si="106"/>
        <v>416900</v>
      </c>
      <c r="G373" s="364">
        <f t="shared" si="106"/>
        <v>0</v>
      </c>
      <c r="H373" s="364">
        <f t="shared" si="106"/>
        <v>0</v>
      </c>
      <c r="I373" s="364">
        <f t="shared" si="106"/>
        <v>1864915.69</v>
      </c>
      <c r="J373" s="364">
        <f t="shared" si="106"/>
        <v>1864915</v>
      </c>
      <c r="K373" s="28"/>
    </row>
    <row r="374" spans="1:15" s="18" customFormat="1" ht="71.25" customHeight="1">
      <c r="A374" s="69"/>
      <c r="B374" s="632"/>
      <c r="C374" s="350" t="s">
        <v>788</v>
      </c>
      <c r="D374" s="45">
        <v>0</v>
      </c>
      <c r="E374" s="45">
        <v>0</v>
      </c>
      <c r="F374" s="45">
        <v>0</v>
      </c>
      <c r="G374" s="45">
        <v>0</v>
      </c>
      <c r="H374" s="45">
        <v>0</v>
      </c>
      <c r="I374" s="45">
        <v>1061303.69</v>
      </c>
      <c r="J374" s="45">
        <v>1061303</v>
      </c>
      <c r="K374" s="28"/>
    </row>
    <row r="375" spans="1:15" s="18" customFormat="1" ht="12.75">
      <c r="A375" s="69"/>
      <c r="B375" s="632"/>
      <c r="C375" s="350" t="s">
        <v>662</v>
      </c>
      <c r="D375" s="45">
        <v>0</v>
      </c>
      <c r="E375" s="45">
        <v>1153658.01</v>
      </c>
      <c r="F375" s="45">
        <v>0</v>
      </c>
      <c r="G375" s="45">
        <v>0</v>
      </c>
      <c r="H375" s="45">
        <v>0</v>
      </c>
      <c r="I375" s="45">
        <v>0</v>
      </c>
      <c r="J375" s="45">
        <v>0</v>
      </c>
      <c r="K375" s="28"/>
    </row>
    <row r="376" spans="1:15" s="18" customFormat="1" ht="38.25">
      <c r="A376" s="69"/>
      <c r="B376" s="632"/>
      <c r="C376" s="387" t="s">
        <v>750</v>
      </c>
      <c r="D376" s="45">
        <v>0</v>
      </c>
      <c r="E376" s="45">
        <f>'Wykonanie 8 2025'!I889+'Wykonanie 8 2025'!I890+'Wykonanie 8 2025'!I895+'Wykonanie 8 2025'!I900+'Wykonanie 8 2025'!I906+'Wykonanie 8 2025'!I911+'Wykonanie 8 2025'!I912+'Wykonanie 8 2025'!I915+'Wykonanie 8 2025'!I919+'Wykonanie 8 2025'!I922+'Wykonanie 8 2025'!I923+'Wykonanie 8 2025'!I938+'Wykonanie 8 2025'!I939</f>
        <v>394382.1700000001</v>
      </c>
      <c r="F376" s="45">
        <v>0</v>
      </c>
      <c r="G376" s="45">
        <v>0</v>
      </c>
      <c r="H376" s="45">
        <v>0</v>
      </c>
      <c r="I376" s="45">
        <v>0</v>
      </c>
      <c r="J376" s="45">
        <v>0</v>
      </c>
      <c r="K376" s="28"/>
    </row>
    <row r="377" spans="1:15" s="18" customFormat="1" ht="38.25">
      <c r="A377" s="69"/>
      <c r="B377" s="632"/>
      <c r="C377" s="387" t="s">
        <v>786</v>
      </c>
      <c r="D377" s="45">
        <v>0</v>
      </c>
      <c r="E377" s="45">
        <f>'Wykonanie 8 2025'!I891+'Wykonanie 8 2025'!I896+'Wykonanie 8 2025'!I902+'Wykonanie 8 2025'!I905+'Wykonanie 8 2025'!I916+'Wykonanie 8 2025'!I920+'Wykonanie 8 2025'!I924+'Wykonanie 8 2025'!I936</f>
        <v>727879.5</v>
      </c>
      <c r="F377" s="45">
        <v>416900</v>
      </c>
      <c r="G377" s="45">
        <v>0</v>
      </c>
      <c r="H377" s="45">
        <v>0</v>
      </c>
      <c r="I377" s="45">
        <v>803612</v>
      </c>
      <c r="J377" s="45">
        <v>803612</v>
      </c>
      <c r="K377" s="28"/>
    </row>
    <row r="378" spans="1:15" s="18" customFormat="1" ht="12.75">
      <c r="A378" s="69"/>
      <c r="B378" s="632"/>
      <c r="C378" s="120" t="s">
        <v>277</v>
      </c>
      <c r="D378" s="121">
        <v>0</v>
      </c>
      <c r="E378" s="121">
        <f t="shared" ref="E378:J378" si="107">E379</f>
        <v>38804</v>
      </c>
      <c r="F378" s="121">
        <f t="shared" si="107"/>
        <v>0</v>
      </c>
      <c r="G378" s="121">
        <f t="shared" si="107"/>
        <v>0</v>
      </c>
      <c r="H378" s="121">
        <f t="shared" si="107"/>
        <v>0</v>
      </c>
      <c r="I378" s="121">
        <f t="shared" si="107"/>
        <v>0</v>
      </c>
      <c r="J378" s="121">
        <f t="shared" si="107"/>
        <v>0</v>
      </c>
      <c r="K378" s="28"/>
    </row>
    <row r="379" spans="1:15" s="18" customFormat="1" ht="22.5">
      <c r="A379" s="69"/>
      <c r="B379" s="632"/>
      <c r="C379" s="144" t="s">
        <v>226</v>
      </c>
      <c r="D379" s="45">
        <v>0</v>
      </c>
      <c r="E379" s="45">
        <f>'Wykonanie 8 2025'!I927</f>
        <v>38804</v>
      </c>
      <c r="F379" s="46">
        <v>0</v>
      </c>
      <c r="G379" s="46">
        <v>0</v>
      </c>
      <c r="H379" s="46">
        <v>0</v>
      </c>
      <c r="I379" s="46">
        <v>0</v>
      </c>
      <c r="J379" s="46">
        <v>0</v>
      </c>
      <c r="K379" s="28"/>
    </row>
    <row r="380" spans="1:15" s="18" customFormat="1" ht="12.75">
      <c r="A380" s="69"/>
      <c r="B380" s="632"/>
      <c r="C380" s="42" t="s">
        <v>241</v>
      </c>
      <c r="D380" s="43">
        <v>0</v>
      </c>
      <c r="E380" s="43">
        <f t="shared" ref="E380:J380" si="108">E381</f>
        <v>574486</v>
      </c>
      <c r="F380" s="43">
        <f t="shared" si="108"/>
        <v>0</v>
      </c>
      <c r="G380" s="43">
        <f t="shared" si="108"/>
        <v>0</v>
      </c>
      <c r="H380" s="43">
        <f t="shared" si="108"/>
        <v>0</v>
      </c>
      <c r="I380" s="43">
        <f t="shared" si="108"/>
        <v>0</v>
      </c>
      <c r="J380" s="43">
        <f t="shared" si="108"/>
        <v>0</v>
      </c>
      <c r="K380" s="28"/>
    </row>
    <row r="381" spans="1:15" s="18" customFormat="1" ht="12.75">
      <c r="A381" s="69"/>
      <c r="B381" s="632"/>
      <c r="C381" s="44" t="s">
        <v>262</v>
      </c>
      <c r="D381" s="45">
        <v>0</v>
      </c>
      <c r="E381" s="46">
        <f>'Wykonanie 8 2025'!I935</f>
        <v>574486</v>
      </c>
      <c r="F381" s="46">
        <v>0</v>
      </c>
      <c r="G381" s="46">
        <v>0</v>
      </c>
      <c r="H381" s="46">
        <v>0</v>
      </c>
      <c r="I381" s="46">
        <v>0</v>
      </c>
      <c r="J381" s="46">
        <v>0</v>
      </c>
      <c r="K381" s="28"/>
    </row>
    <row r="382" spans="1:15" s="48" customFormat="1" ht="12.75">
      <c r="A382" s="33">
        <v>851</v>
      </c>
      <c r="B382" s="636"/>
      <c r="C382" s="35" t="s">
        <v>143</v>
      </c>
      <c r="D382" s="36">
        <v>105987</v>
      </c>
      <c r="E382" s="36">
        <f>E383+E391+E396+E399</f>
        <v>132390</v>
      </c>
      <c r="F382" s="36">
        <f t="shared" ref="F382:J382" si="109">F383+F391+F396</f>
        <v>10154.34</v>
      </c>
      <c r="G382" s="36">
        <f t="shared" si="109"/>
        <v>0</v>
      </c>
      <c r="H382" s="36">
        <f t="shared" si="109"/>
        <v>0</v>
      </c>
      <c r="I382" s="36">
        <f t="shared" si="109"/>
        <v>20500</v>
      </c>
      <c r="J382" s="36">
        <f t="shared" si="109"/>
        <v>20500</v>
      </c>
      <c r="K382" s="58"/>
    </row>
    <row r="383" spans="1:15" s="40" customFormat="1">
      <c r="A383" s="51"/>
      <c r="B383" s="86" t="s">
        <v>144</v>
      </c>
      <c r="C383" s="38" t="s">
        <v>145</v>
      </c>
      <c r="D383" s="39">
        <v>500</v>
      </c>
      <c r="E383" s="39">
        <f t="shared" ref="E383:J383" si="110">E384+E387+E389</f>
        <v>26903</v>
      </c>
      <c r="F383" s="39">
        <f t="shared" si="110"/>
        <v>0</v>
      </c>
      <c r="G383" s="39">
        <f t="shared" si="110"/>
        <v>0</v>
      </c>
      <c r="H383" s="39">
        <f t="shared" si="110"/>
        <v>0</v>
      </c>
      <c r="I383" s="39">
        <f t="shared" si="110"/>
        <v>500</v>
      </c>
      <c r="J383" s="39">
        <f t="shared" si="110"/>
        <v>500</v>
      </c>
      <c r="K383" s="61"/>
    </row>
    <row r="384" spans="1:15" s="40" customFormat="1">
      <c r="A384" s="52"/>
      <c r="B384" s="87"/>
      <c r="C384" s="42" t="s">
        <v>241</v>
      </c>
      <c r="D384" s="43">
        <v>500</v>
      </c>
      <c r="E384" s="43">
        <f t="shared" ref="E384:J384" si="111">E385+E386</f>
        <v>500</v>
      </c>
      <c r="F384" s="43">
        <f t="shared" si="111"/>
        <v>0</v>
      </c>
      <c r="G384" s="43">
        <f t="shared" si="111"/>
        <v>0</v>
      </c>
      <c r="H384" s="43">
        <f t="shared" si="111"/>
        <v>0</v>
      </c>
      <c r="I384" s="43">
        <f t="shared" si="111"/>
        <v>500</v>
      </c>
      <c r="J384" s="43">
        <f t="shared" si="111"/>
        <v>500</v>
      </c>
      <c r="K384" s="61"/>
    </row>
    <row r="385" spans="1:11" s="48" customFormat="1">
      <c r="A385" s="52"/>
      <c r="B385" s="152"/>
      <c r="C385" s="114" t="s">
        <v>268</v>
      </c>
      <c r="D385" s="45">
        <v>0</v>
      </c>
      <c r="E385" s="45">
        <v>0</v>
      </c>
      <c r="F385" s="45">
        <v>0</v>
      </c>
      <c r="G385" s="45">
        <v>0</v>
      </c>
      <c r="H385" s="45">
        <v>0</v>
      </c>
      <c r="I385" s="45">
        <v>0</v>
      </c>
      <c r="J385" s="45">
        <v>0</v>
      </c>
      <c r="K385" s="58"/>
    </row>
    <row r="386" spans="1:11" s="48" customFormat="1" ht="25.5">
      <c r="A386" s="52"/>
      <c r="B386" s="152"/>
      <c r="C386" s="44" t="s">
        <v>226</v>
      </c>
      <c r="D386" s="45">
        <v>500</v>
      </c>
      <c r="E386" s="45">
        <f>'Wykonanie 8 2025'!I946</f>
        <v>500</v>
      </c>
      <c r="F386" s="46">
        <v>0</v>
      </c>
      <c r="G386" s="46">
        <v>0</v>
      </c>
      <c r="H386" s="46">
        <v>0</v>
      </c>
      <c r="I386" s="46">
        <v>500</v>
      </c>
      <c r="J386" s="46">
        <f>I386</f>
        <v>500</v>
      </c>
      <c r="K386" s="58"/>
    </row>
    <row r="387" spans="1:11" s="48" customFormat="1">
      <c r="A387" s="52"/>
      <c r="B387" s="141"/>
      <c r="C387" s="42" t="s">
        <v>646</v>
      </c>
      <c r="D387" s="43">
        <v>0</v>
      </c>
      <c r="E387" s="43">
        <f t="shared" ref="E387:J387" si="112">E388</f>
        <v>12300</v>
      </c>
      <c r="F387" s="43">
        <f t="shared" si="112"/>
        <v>0</v>
      </c>
      <c r="G387" s="43">
        <f t="shared" si="112"/>
        <v>0</v>
      </c>
      <c r="H387" s="43">
        <f t="shared" si="112"/>
        <v>0</v>
      </c>
      <c r="I387" s="43">
        <f t="shared" si="112"/>
        <v>0</v>
      </c>
      <c r="J387" s="43">
        <f t="shared" si="112"/>
        <v>0</v>
      </c>
      <c r="K387" s="58"/>
    </row>
    <row r="388" spans="1:11" s="48" customFormat="1" ht="25.5">
      <c r="A388" s="52"/>
      <c r="B388" s="141"/>
      <c r="C388" s="44" t="s">
        <v>226</v>
      </c>
      <c r="D388" s="45">
        <v>0</v>
      </c>
      <c r="E388" s="45">
        <f>'Wykonanie 8 2025'!I945</f>
        <v>12300</v>
      </c>
      <c r="F388" s="45">
        <v>0</v>
      </c>
      <c r="G388" s="45">
        <v>0</v>
      </c>
      <c r="H388" s="45">
        <v>0</v>
      </c>
      <c r="I388" s="45">
        <v>0</v>
      </c>
      <c r="J388" s="45">
        <v>0</v>
      </c>
      <c r="K388" s="58"/>
    </row>
    <row r="389" spans="1:11" s="48" customFormat="1">
      <c r="A389" s="52"/>
      <c r="B389" s="141"/>
      <c r="C389" s="42" t="s">
        <v>234</v>
      </c>
      <c r="D389" s="43">
        <v>0</v>
      </c>
      <c r="E389" s="43">
        <f t="shared" ref="E389:J389" si="113">E390</f>
        <v>14103</v>
      </c>
      <c r="F389" s="43">
        <f t="shared" si="113"/>
        <v>0</v>
      </c>
      <c r="G389" s="43">
        <f t="shared" si="113"/>
        <v>0</v>
      </c>
      <c r="H389" s="43">
        <f t="shared" si="113"/>
        <v>0</v>
      </c>
      <c r="I389" s="43">
        <f t="shared" si="113"/>
        <v>0</v>
      </c>
      <c r="J389" s="43">
        <f t="shared" si="113"/>
        <v>0</v>
      </c>
      <c r="K389" s="58"/>
    </row>
    <row r="390" spans="1:11" s="48" customFormat="1" ht="25.5">
      <c r="A390" s="52"/>
      <c r="B390" s="141"/>
      <c r="C390" s="44" t="s">
        <v>226</v>
      </c>
      <c r="D390" s="45"/>
      <c r="E390" s="45">
        <f>'Wykonanie 8 2025'!I944</f>
        <v>14103</v>
      </c>
      <c r="F390" s="46">
        <v>0</v>
      </c>
      <c r="G390" s="46">
        <v>0</v>
      </c>
      <c r="H390" s="46">
        <v>0</v>
      </c>
      <c r="I390" s="46">
        <v>0</v>
      </c>
      <c r="J390" s="46"/>
      <c r="K390" s="58"/>
    </row>
    <row r="391" spans="1:11" s="48" customFormat="1" ht="25.5">
      <c r="A391" s="52"/>
      <c r="B391" s="86" t="s">
        <v>280</v>
      </c>
      <c r="C391" s="38" t="s">
        <v>146</v>
      </c>
      <c r="D391" s="39">
        <v>85487</v>
      </c>
      <c r="E391" s="39">
        <f t="shared" ref="E391:J391" si="114">E392+E394</f>
        <v>85487</v>
      </c>
      <c r="F391" s="39">
        <f t="shared" si="114"/>
        <v>10154.34</v>
      </c>
      <c r="G391" s="39">
        <f t="shared" si="114"/>
        <v>0</v>
      </c>
      <c r="H391" s="39">
        <f t="shared" si="114"/>
        <v>0</v>
      </c>
      <c r="I391" s="39">
        <f t="shared" si="114"/>
        <v>0</v>
      </c>
      <c r="J391" s="39">
        <f t="shared" si="114"/>
        <v>0</v>
      </c>
      <c r="K391" s="58"/>
    </row>
    <row r="392" spans="1:11" s="48" customFormat="1">
      <c r="A392" s="52"/>
      <c r="B392" s="87"/>
      <c r="C392" s="42" t="s">
        <v>241</v>
      </c>
      <c r="D392" s="43">
        <v>0</v>
      </c>
      <c r="E392" s="43">
        <f t="shared" ref="E392:J392" si="115">E393</f>
        <v>0</v>
      </c>
      <c r="F392" s="43">
        <f t="shared" si="115"/>
        <v>0</v>
      </c>
      <c r="G392" s="43">
        <f t="shared" si="115"/>
        <v>0</v>
      </c>
      <c r="H392" s="43">
        <f t="shared" si="115"/>
        <v>0</v>
      </c>
      <c r="I392" s="43">
        <f t="shared" si="115"/>
        <v>0</v>
      </c>
      <c r="J392" s="43">
        <f t="shared" si="115"/>
        <v>0</v>
      </c>
      <c r="K392" s="58"/>
    </row>
    <row r="393" spans="1:11" s="48" customFormat="1" ht="25.5">
      <c r="A393" s="52"/>
      <c r="B393" s="87"/>
      <c r="C393" s="44" t="s">
        <v>226</v>
      </c>
      <c r="D393" s="45">
        <v>0</v>
      </c>
      <c r="E393" s="46">
        <v>0</v>
      </c>
      <c r="F393" s="46">
        <v>0</v>
      </c>
      <c r="G393" s="46">
        <v>0</v>
      </c>
      <c r="H393" s="46">
        <v>0</v>
      </c>
      <c r="I393" s="46">
        <v>0</v>
      </c>
      <c r="J393" s="46">
        <v>0</v>
      </c>
      <c r="K393" s="58"/>
    </row>
    <row r="394" spans="1:11" s="48" customFormat="1">
      <c r="A394" s="52"/>
      <c r="B394" s="87"/>
      <c r="C394" s="120" t="s">
        <v>217</v>
      </c>
      <c r="D394" s="121">
        <v>85487</v>
      </c>
      <c r="E394" s="121">
        <f t="shared" ref="E394:J394" si="116">E395</f>
        <v>85487</v>
      </c>
      <c r="F394" s="121">
        <f t="shared" si="116"/>
        <v>10154.34</v>
      </c>
      <c r="G394" s="121">
        <f t="shared" si="116"/>
        <v>0</v>
      </c>
      <c r="H394" s="121"/>
      <c r="I394" s="121">
        <f t="shared" si="116"/>
        <v>0</v>
      </c>
      <c r="J394" s="121">
        <f t="shared" si="116"/>
        <v>0</v>
      </c>
      <c r="K394" s="58"/>
    </row>
    <row r="395" spans="1:11" s="40" customFormat="1" ht="25.5">
      <c r="A395" s="52"/>
      <c r="B395" s="153"/>
      <c r="C395" s="44" t="s">
        <v>226</v>
      </c>
      <c r="D395" s="45">
        <v>85487</v>
      </c>
      <c r="E395" s="45">
        <f>'Wykonanie 8 2025'!I949</f>
        <v>85487</v>
      </c>
      <c r="F395" s="45">
        <v>10154.34</v>
      </c>
      <c r="G395" s="46">
        <v>0</v>
      </c>
      <c r="H395" s="46">
        <v>0</v>
      </c>
      <c r="I395" s="46">
        <v>0</v>
      </c>
      <c r="J395" s="46">
        <f>I395</f>
        <v>0</v>
      </c>
      <c r="K395" s="61"/>
    </row>
    <row r="396" spans="1:11" s="48" customFormat="1">
      <c r="A396" s="52"/>
      <c r="B396" s="86" t="s">
        <v>281</v>
      </c>
      <c r="C396" s="38" t="s">
        <v>282</v>
      </c>
      <c r="D396" s="39">
        <v>20000</v>
      </c>
      <c r="E396" s="39">
        <f t="shared" ref="E396:H397" si="117">E397</f>
        <v>20000</v>
      </c>
      <c r="F396" s="39">
        <f t="shared" si="117"/>
        <v>0</v>
      </c>
      <c r="G396" s="39">
        <f t="shared" si="117"/>
        <v>0</v>
      </c>
      <c r="H396" s="39">
        <f t="shared" si="117"/>
        <v>0</v>
      </c>
      <c r="I396" s="39">
        <f>I397</f>
        <v>20000</v>
      </c>
      <c r="J396" s="39">
        <f>J397</f>
        <v>20000</v>
      </c>
      <c r="K396" s="58"/>
    </row>
    <row r="397" spans="1:11" s="48" customFormat="1">
      <c r="A397" s="52"/>
      <c r="B397" s="87"/>
      <c r="C397" s="42" t="s">
        <v>232</v>
      </c>
      <c r="D397" s="43">
        <v>20000</v>
      </c>
      <c r="E397" s="43">
        <f t="shared" si="117"/>
        <v>20000</v>
      </c>
      <c r="F397" s="43">
        <f t="shared" si="117"/>
        <v>0</v>
      </c>
      <c r="G397" s="43">
        <f t="shared" si="117"/>
        <v>0</v>
      </c>
      <c r="H397" s="43"/>
      <c r="I397" s="43">
        <f>I398</f>
        <v>20000</v>
      </c>
      <c r="J397" s="43">
        <f>J398</f>
        <v>20000</v>
      </c>
      <c r="K397" s="58"/>
    </row>
    <row r="398" spans="1:11" s="40" customFormat="1" ht="25.5">
      <c r="A398" s="52"/>
      <c r="B398" s="152"/>
      <c r="C398" s="44" t="s">
        <v>226</v>
      </c>
      <c r="D398" s="45">
        <v>20000</v>
      </c>
      <c r="E398" s="45">
        <f>'Wykonanie 8 2025'!I950</f>
        <v>20000</v>
      </c>
      <c r="F398" s="46">
        <v>0</v>
      </c>
      <c r="G398" s="46">
        <v>0</v>
      </c>
      <c r="H398" s="46">
        <v>0</v>
      </c>
      <c r="I398" s="46">
        <v>20000</v>
      </c>
      <c r="J398" s="46">
        <f>I398</f>
        <v>20000</v>
      </c>
      <c r="K398" s="61"/>
    </row>
    <row r="399" spans="1:11" s="48" customFormat="1" ht="47.25" customHeight="1">
      <c r="A399" s="100"/>
      <c r="B399" s="37" t="s">
        <v>494</v>
      </c>
      <c r="C399" s="252" t="s">
        <v>351</v>
      </c>
      <c r="D399" s="39">
        <v>0</v>
      </c>
      <c r="E399" s="39">
        <f>E400</f>
        <v>0</v>
      </c>
      <c r="F399" s="39">
        <f t="shared" ref="F399:J399" si="118">F400</f>
        <v>0</v>
      </c>
      <c r="G399" s="39">
        <f t="shared" si="118"/>
        <v>0</v>
      </c>
      <c r="H399" s="39">
        <f t="shared" si="118"/>
        <v>0</v>
      </c>
      <c r="I399" s="39">
        <f t="shared" si="118"/>
        <v>0</v>
      </c>
      <c r="J399" s="39">
        <f t="shared" si="118"/>
        <v>0</v>
      </c>
      <c r="K399" s="58"/>
    </row>
    <row r="400" spans="1:11" s="40" customFormat="1">
      <c r="A400" s="100"/>
      <c r="B400" s="141"/>
      <c r="C400" s="42" t="s">
        <v>231</v>
      </c>
      <c r="D400" s="43">
        <v>0</v>
      </c>
      <c r="E400" s="43">
        <f>E401</f>
        <v>0</v>
      </c>
      <c r="F400" s="43">
        <f t="shared" ref="F400:J400" si="119">F401</f>
        <v>0</v>
      </c>
      <c r="G400" s="43">
        <f t="shared" si="119"/>
        <v>0</v>
      </c>
      <c r="H400" s="43">
        <f t="shared" si="119"/>
        <v>0</v>
      </c>
      <c r="I400" s="43">
        <f t="shared" si="119"/>
        <v>0</v>
      </c>
      <c r="J400" s="43">
        <f t="shared" si="119"/>
        <v>0</v>
      </c>
      <c r="K400" s="61"/>
    </row>
    <row r="401" spans="1:13" s="40" customFormat="1" ht="25.5">
      <c r="A401" s="124"/>
      <c r="B401" s="141"/>
      <c r="C401" s="44" t="s">
        <v>226</v>
      </c>
      <c r="D401" s="45">
        <v>0</v>
      </c>
      <c r="E401" s="46">
        <v>0</v>
      </c>
      <c r="F401" s="46">
        <v>0</v>
      </c>
      <c r="G401" s="46">
        <v>0</v>
      </c>
      <c r="H401" s="46">
        <v>0</v>
      </c>
      <c r="I401" s="46">
        <v>0</v>
      </c>
      <c r="J401" s="46">
        <v>0</v>
      </c>
      <c r="K401" s="61"/>
    </row>
    <row r="402" spans="1:13" s="48" customFormat="1" ht="12.75">
      <c r="A402" s="33">
        <v>852</v>
      </c>
      <c r="B402" s="81"/>
      <c r="C402" s="66" t="s">
        <v>150</v>
      </c>
      <c r="D402" s="36">
        <v>21680164</v>
      </c>
      <c r="E402" s="36">
        <f t="shared" ref="E402:J402" si="120">E403+E415+E425+E433</f>
        <v>24095087</v>
      </c>
      <c r="F402" s="36">
        <f t="shared" si="120"/>
        <v>23823062.469999999</v>
      </c>
      <c r="G402" s="36">
        <f t="shared" si="120"/>
        <v>1159870</v>
      </c>
      <c r="H402" s="36">
        <f t="shared" si="120"/>
        <v>71261</v>
      </c>
      <c r="I402" s="36">
        <f t="shared" si="120"/>
        <v>24583019</v>
      </c>
      <c r="J402" s="36">
        <f t="shared" si="120"/>
        <v>26153390</v>
      </c>
      <c r="K402" s="58"/>
    </row>
    <row r="403" spans="1:13" s="48" customFormat="1">
      <c r="A403" s="100"/>
      <c r="B403" s="37">
        <v>85202</v>
      </c>
      <c r="C403" s="38" t="s">
        <v>151</v>
      </c>
      <c r="D403" s="39">
        <v>18866736</v>
      </c>
      <c r="E403" s="39">
        <f>E404+E407+E409</f>
        <v>20929443</v>
      </c>
      <c r="F403" s="39">
        <f t="shared" ref="F403:J403" si="121">F404+F409</f>
        <v>20586165</v>
      </c>
      <c r="G403" s="39">
        <f t="shared" si="121"/>
        <v>1121630</v>
      </c>
      <c r="H403" s="39">
        <f t="shared" si="121"/>
        <v>0</v>
      </c>
      <c r="I403" s="39">
        <f t="shared" si="121"/>
        <v>21129215</v>
      </c>
      <c r="J403" s="39">
        <f t="shared" si="121"/>
        <v>22988719</v>
      </c>
      <c r="K403" s="58"/>
    </row>
    <row r="404" spans="1:13" s="40" customFormat="1">
      <c r="A404" s="100"/>
      <c r="B404" s="644"/>
      <c r="C404" s="42" t="s">
        <v>231</v>
      </c>
      <c r="D404" s="43">
        <v>73500</v>
      </c>
      <c r="E404" s="43">
        <f t="shared" ref="E404:J404" si="122">E405+E406</f>
        <v>3500</v>
      </c>
      <c r="F404" s="43">
        <f t="shared" si="122"/>
        <v>0</v>
      </c>
      <c r="G404" s="43">
        <f t="shared" si="122"/>
        <v>0</v>
      </c>
      <c r="H404" s="43">
        <f t="shared" si="122"/>
        <v>0</v>
      </c>
      <c r="I404" s="43">
        <f t="shared" si="122"/>
        <v>73500</v>
      </c>
      <c r="J404" s="43">
        <f t="shared" si="122"/>
        <v>74000</v>
      </c>
      <c r="K404" s="61"/>
    </row>
    <row r="405" spans="1:13" s="40" customFormat="1" ht="25.5">
      <c r="A405" s="124"/>
      <c r="B405" s="645"/>
      <c r="C405" s="44" t="s">
        <v>226</v>
      </c>
      <c r="D405" s="45">
        <v>73500</v>
      </c>
      <c r="E405" s="46">
        <f>'Wykonanie 8 2025'!I961+'Wykonanie 8 2025'!I972</f>
        <v>3500</v>
      </c>
      <c r="F405" s="46">
        <v>0</v>
      </c>
      <c r="G405" s="46">
        <v>0</v>
      </c>
      <c r="H405" s="46">
        <v>0</v>
      </c>
      <c r="I405" s="46">
        <v>73500</v>
      </c>
      <c r="J405" s="46">
        <v>74000</v>
      </c>
      <c r="K405" s="61"/>
    </row>
    <row r="406" spans="1:13" s="40" customFormat="1" ht="15" customHeight="1">
      <c r="A406" s="110"/>
      <c r="B406" s="645"/>
      <c r="C406" s="44" t="s">
        <v>230</v>
      </c>
      <c r="D406" s="45">
        <v>0</v>
      </c>
      <c r="E406" s="46">
        <v>0</v>
      </c>
      <c r="F406" s="46">
        <v>0</v>
      </c>
      <c r="G406" s="46">
        <v>0</v>
      </c>
      <c r="H406" s="46">
        <v>0</v>
      </c>
      <c r="I406" s="46">
        <v>0</v>
      </c>
      <c r="J406" s="46">
        <v>0</v>
      </c>
      <c r="K406" s="61"/>
      <c r="L406" s="61"/>
    </row>
    <row r="407" spans="1:13" s="40" customFormat="1" ht="25.5">
      <c r="A407" s="100"/>
      <c r="B407" s="645"/>
      <c r="C407" s="42" t="s">
        <v>390</v>
      </c>
      <c r="D407" s="43">
        <v>0</v>
      </c>
      <c r="E407" s="43">
        <f t="shared" ref="E407:J407" si="123">E408</f>
        <v>0</v>
      </c>
      <c r="F407" s="43">
        <f t="shared" si="123"/>
        <v>0</v>
      </c>
      <c r="G407" s="43">
        <f t="shared" si="123"/>
        <v>0</v>
      </c>
      <c r="H407" s="43">
        <f t="shared" si="123"/>
        <v>0</v>
      </c>
      <c r="I407" s="43">
        <f t="shared" si="123"/>
        <v>0</v>
      </c>
      <c r="J407" s="43">
        <f t="shared" si="123"/>
        <v>0</v>
      </c>
      <c r="K407" s="61"/>
      <c r="L407" s="61"/>
      <c r="M407" s="61"/>
    </row>
    <row r="408" spans="1:13" s="40" customFormat="1" ht="25.5">
      <c r="A408" s="124"/>
      <c r="B408" s="645"/>
      <c r="C408" s="44" t="s">
        <v>226</v>
      </c>
      <c r="D408" s="45">
        <v>0</v>
      </c>
      <c r="E408" s="46">
        <v>0</v>
      </c>
      <c r="F408" s="46">
        <v>0</v>
      </c>
      <c r="G408" s="46">
        <v>0</v>
      </c>
      <c r="H408" s="46">
        <v>0</v>
      </c>
      <c r="I408" s="46">
        <v>0</v>
      </c>
      <c r="J408" s="46">
        <v>0</v>
      </c>
      <c r="K408" s="61"/>
    </row>
    <row r="409" spans="1:13" s="40" customFormat="1" ht="12.75">
      <c r="A409" s="110"/>
      <c r="B409" s="645"/>
      <c r="C409" s="120" t="s">
        <v>283</v>
      </c>
      <c r="D409" s="121">
        <v>18793236</v>
      </c>
      <c r="E409" s="122">
        <f>E410+E411+E412+E413</f>
        <v>20925943</v>
      </c>
      <c r="F409" s="122">
        <f>F410+F411+F412</f>
        <v>20586165</v>
      </c>
      <c r="G409" s="122">
        <f>G410+G411+G412</f>
        <v>1121630</v>
      </c>
      <c r="H409" s="122">
        <f>H410+H411+H412</f>
        <v>0</v>
      </c>
      <c r="I409" s="122">
        <f>I410+I411+I412</f>
        <v>21055715</v>
      </c>
      <c r="J409" s="122">
        <f>J410+J411+J412</f>
        <v>22914719</v>
      </c>
      <c r="K409" s="61"/>
      <c r="L409" s="61"/>
    </row>
    <row r="410" spans="1:13" s="40" customFormat="1" ht="14.25" customHeight="1">
      <c r="A410" s="100"/>
      <c r="B410" s="645"/>
      <c r="C410" s="56" t="s">
        <v>230</v>
      </c>
      <c r="D410" s="380">
        <v>14440858</v>
      </c>
      <c r="E410" s="157">
        <f>'Wykonanie 8 2025'!I953+'Wykonanie 8 2025'!I954+'Wykonanie 8 2025'!I955+'Wykonanie 8 2025'!I956+'Wykonanie 8 2025'!I957+'Wykonanie 8 2025'!I975+'Wykonanie 8 2025'!I976</f>
        <v>16828299</v>
      </c>
      <c r="F410" s="157">
        <v>15696737</v>
      </c>
      <c r="G410" s="158">
        <v>796722</v>
      </c>
      <c r="H410" s="158">
        <v>0</v>
      </c>
      <c r="I410" s="158">
        <v>16384183</v>
      </c>
      <c r="J410" s="158">
        <v>17538682</v>
      </c>
      <c r="K410" s="61"/>
      <c r="L410" s="61"/>
      <c r="M410" s="61"/>
    </row>
    <row r="411" spans="1:13" s="40" customFormat="1">
      <c r="A411" s="100"/>
      <c r="B411" s="645"/>
      <c r="C411" s="134" t="s">
        <v>263</v>
      </c>
      <c r="D411" s="380">
        <v>68768</v>
      </c>
      <c r="E411" s="159">
        <f>'Wykonanie 8 2025'!I952</f>
        <v>50457</v>
      </c>
      <c r="F411" s="157">
        <v>71873</v>
      </c>
      <c r="G411" s="158">
        <v>6000</v>
      </c>
      <c r="H411" s="160">
        <v>0</v>
      </c>
      <c r="I411" s="158">
        <v>71455</v>
      </c>
      <c r="J411" s="158">
        <v>71455</v>
      </c>
      <c r="K411" s="61"/>
    </row>
    <row r="412" spans="1:13" s="48" customFormat="1" ht="25.5">
      <c r="A412" s="100"/>
      <c r="B412" s="645"/>
      <c r="C412" s="56" t="s">
        <v>226</v>
      </c>
      <c r="D412" s="380">
        <v>4283610</v>
      </c>
      <c r="E412" s="159">
        <f>'Wykonanie 8 2025'!I958+'Wykonanie 8 2025'!I959+'Wykonanie 8 2025'!I960+'Wykonanie 8 2025'!I962+'Wykonanie 8 2025'!I963+'Wykonanie 8 2025'!I964+'Wykonanie 8 2025'!I965+'Wykonanie 8 2025'!I966+'Wykonanie 8 2025'!I967+'Wykonanie 8 2025'!I968+'Wykonanie 8 2025'!I969+'Wykonanie 8 2025'!I970+'Wykonanie 8 2025'!I971+'Wykonanie 8 2025'!I973+'Wykonanie 8 2025'!I974</f>
        <v>4047187</v>
      </c>
      <c r="F412" s="157">
        <v>4817555</v>
      </c>
      <c r="G412" s="158">
        <v>318908</v>
      </c>
      <c r="H412" s="161"/>
      <c r="I412" s="158">
        <v>4600077</v>
      </c>
      <c r="J412" s="158">
        <v>5304582</v>
      </c>
      <c r="K412" s="58"/>
    </row>
    <row r="413" spans="1:13" s="48" customFormat="1" ht="25.5">
      <c r="A413" s="100"/>
      <c r="B413" s="645"/>
      <c r="C413" s="44" t="s">
        <v>278</v>
      </c>
      <c r="D413" s="45">
        <v>0</v>
      </c>
      <c r="E413" s="45">
        <v>0</v>
      </c>
      <c r="F413" s="45">
        <v>0</v>
      </c>
      <c r="G413" s="45">
        <v>0</v>
      </c>
      <c r="H413" s="45">
        <v>0</v>
      </c>
      <c r="I413" s="45">
        <v>0</v>
      </c>
      <c r="J413" s="45">
        <v>0</v>
      </c>
      <c r="K413" s="58"/>
    </row>
    <row r="414" spans="1:13" s="48" customFormat="1" ht="25.5">
      <c r="A414" s="100"/>
      <c r="B414" s="646"/>
      <c r="C414" s="162" t="s">
        <v>284</v>
      </c>
      <c r="D414" s="150">
        <v>0</v>
      </c>
      <c r="E414" s="151">
        <v>0</v>
      </c>
      <c r="F414" s="151">
        <f>E414</f>
        <v>0</v>
      </c>
      <c r="G414" s="151">
        <v>0</v>
      </c>
      <c r="H414" s="151">
        <v>0</v>
      </c>
      <c r="I414" s="151">
        <v>0</v>
      </c>
      <c r="J414" s="151">
        <v>0</v>
      </c>
      <c r="K414" s="58"/>
    </row>
    <row r="415" spans="1:13" s="48" customFormat="1">
      <c r="A415" s="100"/>
      <c r="B415" s="37">
        <v>85218</v>
      </c>
      <c r="C415" s="38" t="s">
        <v>160</v>
      </c>
      <c r="D415" s="39">
        <v>1917530</v>
      </c>
      <c r="E415" s="39">
        <f t="shared" ref="E415:J415" si="124">E416+E419+E423</f>
        <v>2255679</v>
      </c>
      <c r="F415" s="39">
        <f t="shared" si="124"/>
        <v>2313716</v>
      </c>
      <c r="G415" s="39">
        <f t="shared" si="124"/>
        <v>38240</v>
      </c>
      <c r="H415" s="39">
        <f t="shared" si="124"/>
        <v>58037</v>
      </c>
      <c r="I415" s="39">
        <f t="shared" si="124"/>
        <v>2574004</v>
      </c>
      <c r="J415" s="39">
        <f t="shared" si="124"/>
        <v>2303466</v>
      </c>
      <c r="K415" s="58"/>
    </row>
    <row r="416" spans="1:13" s="48" customFormat="1">
      <c r="A416" s="109"/>
      <c r="B416" s="634"/>
      <c r="C416" s="42" t="s">
        <v>231</v>
      </c>
      <c r="D416" s="43">
        <v>0</v>
      </c>
      <c r="E416" s="43">
        <f t="shared" ref="E416:J416" si="125">E417+E418</f>
        <v>0</v>
      </c>
      <c r="F416" s="43">
        <f t="shared" si="125"/>
        <v>0</v>
      </c>
      <c r="G416" s="43">
        <f t="shared" si="125"/>
        <v>0</v>
      </c>
      <c r="H416" s="43">
        <f t="shared" si="125"/>
        <v>0</v>
      </c>
      <c r="I416" s="43">
        <f t="shared" si="125"/>
        <v>0</v>
      </c>
      <c r="J416" s="43">
        <f t="shared" si="125"/>
        <v>0</v>
      </c>
      <c r="K416" s="58"/>
    </row>
    <row r="417" spans="1:13" s="48" customFormat="1" ht="12" customHeight="1">
      <c r="A417" s="110"/>
      <c r="B417" s="635"/>
      <c r="C417" s="44" t="s">
        <v>230</v>
      </c>
      <c r="D417" s="45">
        <v>0</v>
      </c>
      <c r="E417" s="46">
        <v>0</v>
      </c>
      <c r="F417" s="46">
        <v>0</v>
      </c>
      <c r="G417" s="46">
        <v>0</v>
      </c>
      <c r="H417" s="46">
        <v>0</v>
      </c>
      <c r="I417" s="46">
        <v>0</v>
      </c>
      <c r="J417" s="46">
        <v>0</v>
      </c>
      <c r="K417" s="58"/>
    </row>
    <row r="418" spans="1:13" s="48" customFormat="1" ht="25.5">
      <c r="A418" s="110"/>
      <c r="B418" s="635"/>
      <c r="C418" s="44" t="s">
        <v>226</v>
      </c>
      <c r="D418" s="45">
        <v>0</v>
      </c>
      <c r="E418" s="46">
        <v>0</v>
      </c>
      <c r="F418" s="46">
        <v>0</v>
      </c>
      <c r="G418" s="46">
        <v>0</v>
      </c>
      <c r="H418" s="46">
        <v>0</v>
      </c>
      <c r="I418" s="46">
        <v>0</v>
      </c>
      <c r="J418" s="46">
        <v>0</v>
      </c>
      <c r="K418" s="58"/>
    </row>
    <row r="419" spans="1:13" s="48" customFormat="1" ht="12.75">
      <c r="A419" s="110"/>
      <c r="B419" s="635"/>
      <c r="C419" s="120" t="s">
        <v>217</v>
      </c>
      <c r="D419" s="121">
        <v>1917530</v>
      </c>
      <c r="E419" s="122">
        <f t="shared" ref="E419:J419" si="126">E420+E421+E422</f>
        <v>2255679</v>
      </c>
      <c r="F419" s="122">
        <f t="shared" si="126"/>
        <v>2313716</v>
      </c>
      <c r="G419" s="122">
        <f t="shared" si="126"/>
        <v>38240</v>
      </c>
      <c r="H419" s="122">
        <f t="shared" si="126"/>
        <v>58037</v>
      </c>
      <c r="I419" s="122">
        <f t="shared" si="126"/>
        <v>2574004</v>
      </c>
      <c r="J419" s="122">
        <f t="shared" si="126"/>
        <v>2303466</v>
      </c>
      <c r="K419" s="58"/>
    </row>
    <row r="420" spans="1:13" s="40" customFormat="1" ht="14.25" customHeight="1">
      <c r="A420" s="110"/>
      <c r="B420" s="635"/>
      <c r="C420" s="56" t="s">
        <v>230</v>
      </c>
      <c r="D420" s="118">
        <v>1702911</v>
      </c>
      <c r="E420" s="94">
        <f>'Wykonanie 8 2025'!I986+'Wykonanie 8 2025'!I987+'Wykonanie 8 2025'!I988+'Wykonanie 8 2025'!I989+'Wykonanie 8 2025'!I990+'Wykonanie 8 2025'!I1005</f>
        <v>2046060</v>
      </c>
      <c r="F420" s="57">
        <v>2087239</v>
      </c>
      <c r="G420" s="57">
        <v>38240</v>
      </c>
      <c r="H420" s="57">
        <v>43854</v>
      </c>
      <c r="I420" s="57">
        <v>2169369</v>
      </c>
      <c r="J420" s="57">
        <v>2087709</v>
      </c>
      <c r="K420" s="61"/>
      <c r="M420" s="61"/>
    </row>
    <row r="421" spans="1:13" s="40" customFormat="1" ht="12.75">
      <c r="A421" s="110"/>
      <c r="B421" s="635"/>
      <c r="C421" s="134" t="s">
        <v>263</v>
      </c>
      <c r="D421" s="118">
        <v>4500</v>
      </c>
      <c r="E421" s="94">
        <f>'Wykonanie 8 2025'!I985</f>
        <v>4500</v>
      </c>
      <c r="F421" s="57">
        <v>4500</v>
      </c>
      <c r="G421" s="57">
        <v>0</v>
      </c>
      <c r="H421" s="57">
        <v>0</v>
      </c>
      <c r="I421" s="57">
        <v>4500</v>
      </c>
      <c r="J421" s="57">
        <v>1500</v>
      </c>
      <c r="K421" s="61"/>
    </row>
    <row r="422" spans="1:13" s="48" customFormat="1" ht="25.5">
      <c r="A422" s="110"/>
      <c r="B422" s="635"/>
      <c r="C422" s="56" t="s">
        <v>226</v>
      </c>
      <c r="D422" s="118">
        <v>210119</v>
      </c>
      <c r="E422" s="94">
        <f>'Wykonanie 8 2025'!I991+'Wykonanie 8 2025'!I992+'Wykonanie 8 2025'!I993+'Wykonanie 8 2025'!I994+'Wykonanie 8 2025'!I995+'Wykonanie 8 2025'!I996+'Wykonanie 8 2025'!I997+'Wykonanie 8 2025'!I998+'Wykonanie 8 2025'!I999+'Wykonanie 8 2025'!I1000+'Wykonanie 8 2025'!I1001+'Wykonanie 8 2025'!I1002+'Wykonanie 8 2025'!I1003+'Wykonanie 8 2025'!I1004</f>
        <v>205119</v>
      </c>
      <c r="F422" s="57">
        <v>221977</v>
      </c>
      <c r="G422" s="57">
        <v>0</v>
      </c>
      <c r="H422" s="57">
        <v>14183</v>
      </c>
      <c r="I422" s="57">
        <v>400135</v>
      </c>
      <c r="J422" s="57">
        <v>214257</v>
      </c>
      <c r="K422" s="58"/>
    </row>
    <row r="423" spans="1:13" s="48" customFormat="1" ht="12.75">
      <c r="A423" s="110"/>
      <c r="B423" s="87"/>
      <c r="C423" s="120" t="s">
        <v>265</v>
      </c>
      <c r="D423" s="121">
        <v>0</v>
      </c>
      <c r="E423" s="121">
        <f t="shared" ref="E423:J423" si="127">E424</f>
        <v>0</v>
      </c>
      <c r="F423" s="121">
        <f t="shared" si="127"/>
        <v>0</v>
      </c>
      <c r="G423" s="121">
        <f t="shared" si="127"/>
        <v>0</v>
      </c>
      <c r="H423" s="121">
        <f t="shared" si="127"/>
        <v>0</v>
      </c>
      <c r="I423" s="121">
        <f t="shared" si="127"/>
        <v>0</v>
      </c>
      <c r="J423" s="121">
        <f t="shared" si="127"/>
        <v>0</v>
      </c>
      <c r="K423" s="58"/>
    </row>
    <row r="424" spans="1:13" s="40" customFormat="1" ht="25.5">
      <c r="A424" s="110"/>
      <c r="B424" s="87"/>
      <c r="C424" s="56" t="s">
        <v>230</v>
      </c>
      <c r="D424" s="118">
        <v>0</v>
      </c>
      <c r="E424" s="94">
        <v>0</v>
      </c>
      <c r="F424" s="57">
        <v>0</v>
      </c>
      <c r="G424" s="57">
        <v>0</v>
      </c>
      <c r="H424" s="57">
        <v>0</v>
      </c>
      <c r="I424" s="57">
        <v>0</v>
      </c>
      <c r="J424" s="57">
        <v>0</v>
      </c>
      <c r="K424" s="61"/>
    </row>
    <row r="425" spans="1:13" s="48" customFormat="1" ht="38.25">
      <c r="A425" s="100"/>
      <c r="B425" s="37">
        <v>85220</v>
      </c>
      <c r="C425" s="38" t="s">
        <v>161</v>
      </c>
      <c r="D425" s="39">
        <v>123438</v>
      </c>
      <c r="E425" s="39">
        <f t="shared" ref="E425:J425" si="128">E426+E429</f>
        <v>137505</v>
      </c>
      <c r="F425" s="39">
        <f t="shared" si="128"/>
        <v>150721.47</v>
      </c>
      <c r="G425" s="39">
        <f t="shared" si="128"/>
        <v>0</v>
      </c>
      <c r="H425" s="39">
        <f t="shared" si="128"/>
        <v>13224</v>
      </c>
      <c r="I425" s="39">
        <f t="shared" si="128"/>
        <v>165980</v>
      </c>
      <c r="J425" s="39">
        <f t="shared" si="128"/>
        <v>147385</v>
      </c>
      <c r="K425" s="58"/>
    </row>
    <row r="426" spans="1:13" s="48" customFormat="1">
      <c r="A426" s="163"/>
      <c r="B426" s="633"/>
      <c r="C426" s="42" t="s">
        <v>231</v>
      </c>
      <c r="D426" s="43">
        <v>0</v>
      </c>
      <c r="E426" s="43">
        <f t="shared" ref="E426:J426" si="129">E427+E428</f>
        <v>0</v>
      </c>
      <c r="F426" s="43">
        <f t="shared" si="129"/>
        <v>0</v>
      </c>
      <c r="G426" s="43">
        <f t="shared" si="129"/>
        <v>0</v>
      </c>
      <c r="H426" s="43">
        <f t="shared" si="129"/>
        <v>0</v>
      </c>
      <c r="I426" s="43">
        <f t="shared" si="129"/>
        <v>0</v>
      </c>
      <c r="J426" s="43">
        <f t="shared" si="129"/>
        <v>0</v>
      </c>
      <c r="K426" s="58"/>
    </row>
    <row r="427" spans="1:13" s="48" customFormat="1" ht="14.25" customHeight="1">
      <c r="A427" s="69"/>
      <c r="B427" s="632"/>
      <c r="C427" s="44" t="s">
        <v>230</v>
      </c>
      <c r="D427" s="45">
        <v>0</v>
      </c>
      <c r="E427" s="46">
        <v>0</v>
      </c>
      <c r="F427" s="46"/>
      <c r="G427" s="46"/>
      <c r="H427" s="46"/>
      <c r="I427" s="46"/>
      <c r="J427" s="46">
        <v>0</v>
      </c>
      <c r="K427" s="58"/>
    </row>
    <row r="428" spans="1:13" s="48" customFormat="1" ht="25.5">
      <c r="A428" s="69"/>
      <c r="B428" s="632"/>
      <c r="C428" s="44" t="s">
        <v>226</v>
      </c>
      <c r="D428" s="45">
        <v>0</v>
      </c>
      <c r="E428" s="46">
        <v>0</v>
      </c>
      <c r="F428" s="46"/>
      <c r="G428" s="46"/>
      <c r="H428" s="46"/>
      <c r="I428" s="46"/>
      <c r="J428" s="46">
        <v>0</v>
      </c>
      <c r="K428" s="58"/>
    </row>
    <row r="429" spans="1:13" s="48" customFormat="1" ht="12.75">
      <c r="A429" s="69"/>
      <c r="B429" s="632"/>
      <c r="C429" s="120" t="s">
        <v>217</v>
      </c>
      <c r="D429" s="121">
        <v>123438</v>
      </c>
      <c r="E429" s="122">
        <f t="shared" ref="E429:J429" si="130">E430+E431+E432</f>
        <v>137505</v>
      </c>
      <c r="F429" s="122">
        <f t="shared" si="130"/>
        <v>150721.47</v>
      </c>
      <c r="G429" s="122">
        <f t="shared" si="130"/>
        <v>0</v>
      </c>
      <c r="H429" s="122">
        <f t="shared" si="130"/>
        <v>13224</v>
      </c>
      <c r="I429" s="122">
        <f t="shared" si="130"/>
        <v>165980</v>
      </c>
      <c r="J429" s="122">
        <f t="shared" si="130"/>
        <v>147385</v>
      </c>
      <c r="K429" s="58"/>
    </row>
    <row r="430" spans="1:13" s="48" customFormat="1" ht="16.5" customHeight="1">
      <c r="A430" s="69"/>
      <c r="B430" s="632"/>
      <c r="C430" s="56" t="s">
        <v>230</v>
      </c>
      <c r="D430" s="118">
        <v>112825</v>
      </c>
      <c r="E430" s="94">
        <f>'Wykonanie 8 2025'!I1007+'Wykonanie 8 2025'!I1008+'Wykonanie 8 2025'!I1009+'Wykonanie 8 2025'!I1010+'Wykonanie 8 2025'!I1011+'Wykonanie 8 2025'!I1018</f>
        <v>126892</v>
      </c>
      <c r="F430" s="57">
        <v>140108.47</v>
      </c>
      <c r="G430" s="57">
        <v>0</v>
      </c>
      <c r="H430" s="57">
        <v>13224</v>
      </c>
      <c r="I430" s="57">
        <v>149742</v>
      </c>
      <c r="J430" s="57">
        <v>138989</v>
      </c>
      <c r="K430" s="58"/>
    </row>
    <row r="431" spans="1:13" s="48" customFormat="1" ht="12.75">
      <c r="A431" s="69"/>
      <c r="B431" s="632"/>
      <c r="C431" s="134" t="s">
        <v>263</v>
      </c>
      <c r="D431" s="118">
        <v>500</v>
      </c>
      <c r="E431" s="94">
        <f>'Wykonanie 8 2025'!I1006</f>
        <v>500</v>
      </c>
      <c r="F431" s="57">
        <v>500</v>
      </c>
      <c r="G431" s="57">
        <v>0</v>
      </c>
      <c r="H431" s="57">
        <v>0</v>
      </c>
      <c r="I431" s="57">
        <v>500</v>
      </c>
      <c r="J431" s="57">
        <v>0</v>
      </c>
      <c r="K431" s="58"/>
    </row>
    <row r="432" spans="1:13" s="48" customFormat="1" ht="25.5">
      <c r="A432" s="69"/>
      <c r="B432" s="632"/>
      <c r="C432" s="56" t="s">
        <v>226</v>
      </c>
      <c r="D432" s="118">
        <v>10113</v>
      </c>
      <c r="E432" s="94">
        <f>'Wykonanie 8 2025'!I1012+'Wykonanie 8 2025'!I1013+'Wykonanie 8 2025'!I1014+'Wykonanie 8 2025'!I1015+'Wykonanie 8 2025'!I1016+'Wykonanie 8 2025'!I1017</f>
        <v>10113</v>
      </c>
      <c r="F432" s="57">
        <v>10113</v>
      </c>
      <c r="G432" s="57">
        <v>0</v>
      </c>
      <c r="H432" s="57">
        <v>0</v>
      </c>
      <c r="I432" s="57">
        <v>15738</v>
      </c>
      <c r="J432" s="57">
        <v>8396</v>
      </c>
      <c r="K432" s="58"/>
    </row>
    <row r="433" spans="1:11" s="48" customFormat="1" ht="12.75">
      <c r="A433" s="69"/>
      <c r="B433" s="37">
        <v>85295</v>
      </c>
      <c r="C433" s="38" t="s">
        <v>45</v>
      </c>
      <c r="D433" s="39">
        <v>772460</v>
      </c>
      <c r="E433" s="39">
        <f>E434+E436+E440</f>
        <v>772459.99999999988</v>
      </c>
      <c r="F433" s="39">
        <f t="shared" ref="F433:J433" si="131">F434+F436+F440</f>
        <v>772459.99999999988</v>
      </c>
      <c r="G433" s="39">
        <f t="shared" si="131"/>
        <v>0</v>
      </c>
      <c r="H433" s="39">
        <f t="shared" si="131"/>
        <v>0</v>
      </c>
      <c r="I433" s="39">
        <f t="shared" si="131"/>
        <v>713820</v>
      </c>
      <c r="J433" s="39">
        <f t="shared" si="131"/>
        <v>713820</v>
      </c>
      <c r="K433" s="58"/>
    </row>
    <row r="434" spans="1:11" s="48" customFormat="1" ht="12.75">
      <c r="A434" s="69"/>
      <c r="B434" s="633"/>
      <c r="C434" s="42" t="s">
        <v>231</v>
      </c>
      <c r="D434" s="43">
        <v>0</v>
      </c>
      <c r="E434" s="43">
        <f t="shared" ref="E434:J434" si="132">E435</f>
        <v>0</v>
      </c>
      <c r="F434" s="43">
        <f t="shared" si="132"/>
        <v>0</v>
      </c>
      <c r="G434" s="43">
        <f t="shared" si="132"/>
        <v>0</v>
      </c>
      <c r="H434" s="43">
        <f t="shared" si="132"/>
        <v>0</v>
      </c>
      <c r="I434" s="43">
        <f t="shared" si="132"/>
        <v>0</v>
      </c>
      <c r="J434" s="43">
        <f t="shared" si="132"/>
        <v>0</v>
      </c>
      <c r="K434" s="58"/>
    </row>
    <row r="435" spans="1:11" s="18" customFormat="1" ht="25.5">
      <c r="A435" s="69"/>
      <c r="B435" s="632"/>
      <c r="C435" s="44" t="s">
        <v>226</v>
      </c>
      <c r="D435" s="45">
        <v>0</v>
      </c>
      <c r="E435" s="46">
        <v>0</v>
      </c>
      <c r="F435" s="46">
        <v>0</v>
      </c>
      <c r="G435" s="46">
        <v>0</v>
      </c>
      <c r="H435" s="46">
        <v>0</v>
      </c>
      <c r="I435" s="46">
        <v>0</v>
      </c>
      <c r="J435" s="46">
        <v>0</v>
      </c>
      <c r="K435" s="28"/>
    </row>
    <row r="436" spans="1:11" s="18" customFormat="1" ht="12.75">
      <c r="A436" s="69"/>
      <c r="B436" s="632"/>
      <c r="C436" s="120" t="s">
        <v>283</v>
      </c>
      <c r="D436" s="121">
        <v>0</v>
      </c>
      <c r="E436" s="122">
        <f t="shared" ref="E436:J436" si="133">E437+E438+E439</f>
        <v>0</v>
      </c>
      <c r="F436" s="122">
        <f t="shared" si="133"/>
        <v>0</v>
      </c>
      <c r="G436" s="122">
        <f t="shared" si="133"/>
        <v>0</v>
      </c>
      <c r="H436" s="122">
        <f t="shared" si="133"/>
        <v>0</v>
      </c>
      <c r="I436" s="122">
        <f t="shared" si="133"/>
        <v>0</v>
      </c>
      <c r="J436" s="122">
        <f t="shared" si="133"/>
        <v>0</v>
      </c>
      <c r="K436" s="28"/>
    </row>
    <row r="437" spans="1:11" s="18" customFormat="1" ht="12.75">
      <c r="A437" s="69"/>
      <c r="B437" s="632"/>
      <c r="C437" s="134" t="s">
        <v>263</v>
      </c>
      <c r="D437" s="118">
        <v>0</v>
      </c>
      <c r="E437" s="94">
        <v>0</v>
      </c>
      <c r="F437" s="57">
        <v>0</v>
      </c>
      <c r="G437" s="57">
        <v>0</v>
      </c>
      <c r="H437" s="57">
        <v>0</v>
      </c>
      <c r="I437" s="57">
        <v>0</v>
      </c>
      <c r="J437" s="57">
        <v>0</v>
      </c>
      <c r="K437" s="28"/>
    </row>
    <row r="438" spans="1:11" s="18" customFormat="1" ht="12" customHeight="1">
      <c r="A438" s="69"/>
      <c r="B438" s="632"/>
      <c r="C438" s="56" t="s">
        <v>230</v>
      </c>
      <c r="D438" s="118">
        <v>0</v>
      </c>
      <c r="E438" s="94">
        <v>0</v>
      </c>
      <c r="F438" s="57">
        <v>0</v>
      </c>
      <c r="G438" s="57">
        <v>0</v>
      </c>
      <c r="H438" s="57">
        <v>0</v>
      </c>
      <c r="I438" s="57">
        <v>0</v>
      </c>
      <c r="J438" s="57">
        <v>0</v>
      </c>
      <c r="K438" s="28"/>
    </row>
    <row r="439" spans="1:11" s="18" customFormat="1" ht="25.5">
      <c r="A439" s="69"/>
      <c r="B439" s="632"/>
      <c r="C439" s="56" t="s">
        <v>226</v>
      </c>
      <c r="D439" s="118">
        <v>0</v>
      </c>
      <c r="E439" s="94">
        <v>0</v>
      </c>
      <c r="F439" s="57">
        <v>0</v>
      </c>
      <c r="G439" s="57">
        <v>0</v>
      </c>
      <c r="H439" s="57">
        <v>0</v>
      </c>
      <c r="I439" s="57">
        <v>0</v>
      </c>
      <c r="J439" s="57">
        <v>0</v>
      </c>
      <c r="K439" s="28"/>
    </row>
    <row r="440" spans="1:11" s="48" customFormat="1" ht="12.75">
      <c r="A440" s="69"/>
      <c r="B440" s="632"/>
      <c r="C440" s="120" t="s">
        <v>217</v>
      </c>
      <c r="D440" s="121">
        <v>772460</v>
      </c>
      <c r="E440" s="121">
        <f t="shared" ref="E440:J441" si="134">E441</f>
        <v>772459.99999999988</v>
      </c>
      <c r="F440" s="121">
        <f t="shared" si="134"/>
        <v>772459.99999999988</v>
      </c>
      <c r="G440" s="121">
        <f t="shared" si="134"/>
        <v>0</v>
      </c>
      <c r="H440" s="121">
        <f t="shared" si="134"/>
        <v>0</v>
      </c>
      <c r="I440" s="121">
        <f t="shared" si="134"/>
        <v>713820</v>
      </c>
      <c r="J440" s="121">
        <f t="shared" si="134"/>
        <v>713820</v>
      </c>
      <c r="K440" s="58"/>
    </row>
    <row r="441" spans="1:11" s="48" customFormat="1" ht="22.5">
      <c r="A441" s="69"/>
      <c r="B441" s="632"/>
      <c r="C441" s="144" t="s">
        <v>278</v>
      </c>
      <c r="D441" s="45">
        <v>772460</v>
      </c>
      <c r="E441" s="45">
        <f t="shared" si="134"/>
        <v>772459.99999999988</v>
      </c>
      <c r="F441" s="45">
        <f t="shared" si="134"/>
        <v>772459.99999999988</v>
      </c>
      <c r="G441" s="45">
        <f t="shared" si="134"/>
        <v>0</v>
      </c>
      <c r="H441" s="45">
        <f t="shared" si="134"/>
        <v>0</v>
      </c>
      <c r="I441" s="45">
        <f t="shared" si="134"/>
        <v>713820</v>
      </c>
      <c r="J441" s="45">
        <f t="shared" si="134"/>
        <v>713820</v>
      </c>
      <c r="K441" s="58"/>
    </row>
    <row r="442" spans="1:11" s="48" customFormat="1" ht="22.5">
      <c r="A442" s="69"/>
      <c r="B442" s="636"/>
      <c r="C442" s="185" t="s">
        <v>672</v>
      </c>
      <c r="D442" s="186">
        <v>772460</v>
      </c>
      <c r="E442" s="186">
        <f>'Wykonanie 8 2025'!I1020+'Wykonanie 8 2025'!I1021+'Wykonanie 8 2025'!I1022+'Wykonanie 8 2025'!I1023+'Wykonanie 8 2025'!I1024+'Wykonanie 8 2025'!I1025+'Wykonanie 8 2025'!I1026+'Wykonanie 8 2025'!I1027+'Wykonanie 8 2025'!I1028+'Wykonanie 8 2025'!I1029+'Wykonanie 8 2025'!I1030+'Wykonanie 8 2025'!I1031+'Wykonanie 8 2025'!I1032+'Wykonanie 8 2025'!I1033+'Wykonanie 8 2025'!I1035+'Wykonanie 8 2025'!I1036+'Wykonanie 8 2025'!I1037+'Wykonanie 8 2025'!I1038+'Wykonanie 8 2025'!I1039+'Wykonanie 8 2025'!I1040+'Wykonanie 8 2025'!I1041+'Wykonanie 8 2025'!I1042</f>
        <v>772459.99999999988</v>
      </c>
      <c r="F442" s="186">
        <f>1403859.15-631399.15</f>
        <v>772459.99999999988</v>
      </c>
      <c r="G442" s="186">
        <v>0</v>
      </c>
      <c r="H442" s="186">
        <v>0</v>
      </c>
      <c r="I442" s="186">
        <v>713820</v>
      </c>
      <c r="J442" s="186">
        <f>I442</f>
        <v>713820</v>
      </c>
      <c r="K442" s="58"/>
    </row>
    <row r="443" spans="1:11" s="18" customFormat="1" ht="25.5">
      <c r="A443" s="33">
        <v>853</v>
      </c>
      <c r="B443" s="34"/>
      <c r="C443" s="35" t="s">
        <v>285</v>
      </c>
      <c r="D443" s="36">
        <v>6038690.5700000003</v>
      </c>
      <c r="E443" s="36">
        <f t="shared" ref="E443:J443" si="135">E444+E447+E460+E466+E476</f>
        <v>7521114.4399999995</v>
      </c>
      <c r="F443" s="36">
        <f t="shared" si="135"/>
        <v>6986063.7599999998</v>
      </c>
      <c r="G443" s="36">
        <f t="shared" si="135"/>
        <v>0</v>
      </c>
      <c r="H443" s="36">
        <f t="shared" si="135"/>
        <v>0</v>
      </c>
      <c r="I443" s="36">
        <f t="shared" si="135"/>
        <v>5185146.5100000007</v>
      </c>
      <c r="J443" s="36">
        <f t="shared" si="135"/>
        <v>4973849.2</v>
      </c>
      <c r="K443" s="28"/>
    </row>
    <row r="444" spans="1:11" s="167" customFormat="1" ht="25.5">
      <c r="A444" s="633"/>
      <c r="B444" s="164">
        <v>85311</v>
      </c>
      <c r="C444" s="165" t="s">
        <v>286</v>
      </c>
      <c r="D444" s="136">
        <v>116064</v>
      </c>
      <c r="E444" s="166">
        <f t="shared" ref="E444:J445" si="136">E445</f>
        <v>120965</v>
      </c>
      <c r="F444" s="166">
        <f t="shared" si="136"/>
        <v>120965</v>
      </c>
      <c r="G444" s="166">
        <f t="shared" si="136"/>
        <v>0</v>
      </c>
      <c r="H444" s="166">
        <f t="shared" si="136"/>
        <v>0</v>
      </c>
      <c r="I444" s="166">
        <f t="shared" si="136"/>
        <v>109498.66</v>
      </c>
      <c r="J444" s="166">
        <f>J445</f>
        <v>109498</v>
      </c>
      <c r="K444" s="20"/>
    </row>
    <row r="445" spans="1:11" s="167" customFormat="1" ht="12.75">
      <c r="A445" s="632"/>
      <c r="B445" s="648"/>
      <c r="C445" s="168" t="s">
        <v>231</v>
      </c>
      <c r="D445" s="381">
        <v>116064</v>
      </c>
      <c r="E445" s="169">
        <f t="shared" si="136"/>
        <v>120965</v>
      </c>
      <c r="F445" s="169">
        <f t="shared" si="136"/>
        <v>120965</v>
      </c>
      <c r="G445" s="169">
        <f t="shared" si="136"/>
        <v>0</v>
      </c>
      <c r="H445" s="169">
        <f t="shared" si="136"/>
        <v>0</v>
      </c>
      <c r="I445" s="169">
        <f>I446</f>
        <v>109498.66</v>
      </c>
      <c r="J445" s="169">
        <f t="shared" si="136"/>
        <v>109498</v>
      </c>
      <c r="K445" s="20"/>
    </row>
    <row r="446" spans="1:11" s="18" customFormat="1" ht="12.75">
      <c r="A446" s="632"/>
      <c r="B446" s="648"/>
      <c r="C446" s="170" t="s">
        <v>268</v>
      </c>
      <c r="D446" s="45">
        <v>116064</v>
      </c>
      <c r="E446" s="171">
        <f>'Wykonanie 8 2025'!I1049+'Wykonanie 8 2025'!I1051</f>
        <v>120965</v>
      </c>
      <c r="F446" s="171">
        <v>120965</v>
      </c>
      <c r="G446" s="171">
        <v>0</v>
      </c>
      <c r="H446" s="171">
        <v>0</v>
      </c>
      <c r="I446" s="45">
        <v>109498.66</v>
      </c>
      <c r="J446" s="45">
        <v>109498</v>
      </c>
      <c r="K446" s="28"/>
    </row>
    <row r="447" spans="1:11" s="18" customFormat="1" ht="25.5">
      <c r="A447" s="632"/>
      <c r="B447" s="37" t="s">
        <v>287</v>
      </c>
      <c r="C447" s="38" t="s">
        <v>173</v>
      </c>
      <c r="D447" s="39">
        <v>99356</v>
      </c>
      <c r="E447" s="39">
        <f>E448+E451+E455</f>
        <v>102980.1</v>
      </c>
      <c r="F447" s="39">
        <f>F448+F451</f>
        <v>0</v>
      </c>
      <c r="G447" s="39">
        <f>G448+G451</f>
        <v>0</v>
      </c>
      <c r="H447" s="39">
        <f>H448+H451</f>
        <v>0</v>
      </c>
      <c r="I447" s="39">
        <f>I448+I451</f>
        <v>99356</v>
      </c>
      <c r="J447" s="39">
        <f>J448+J451</f>
        <v>110000</v>
      </c>
      <c r="K447" s="28"/>
    </row>
    <row r="448" spans="1:11" s="18" customFormat="1" ht="25.5">
      <c r="A448" s="632"/>
      <c r="B448" s="633"/>
      <c r="C448" s="42" t="s">
        <v>288</v>
      </c>
      <c r="D448" s="43">
        <v>0</v>
      </c>
      <c r="E448" s="43">
        <f t="shared" ref="E448:J448" si="137">E449+E450</f>
        <v>0</v>
      </c>
      <c r="F448" s="43">
        <f t="shared" si="137"/>
        <v>0</v>
      </c>
      <c r="G448" s="43">
        <f t="shared" si="137"/>
        <v>0</v>
      </c>
      <c r="H448" s="43">
        <f t="shared" si="137"/>
        <v>0</v>
      </c>
      <c r="I448" s="43">
        <f t="shared" si="137"/>
        <v>0</v>
      </c>
      <c r="J448" s="43">
        <f t="shared" si="137"/>
        <v>0</v>
      </c>
      <c r="K448" s="28"/>
    </row>
    <row r="449" spans="1:11" s="18" customFormat="1" ht="17.25" customHeight="1">
      <c r="A449" s="632"/>
      <c r="B449" s="632"/>
      <c r="C449" s="172" t="s">
        <v>230</v>
      </c>
      <c r="D449" s="140">
        <v>0</v>
      </c>
      <c r="E449" s="140">
        <v>0</v>
      </c>
      <c r="F449" s="140">
        <v>0</v>
      </c>
      <c r="G449" s="140">
        <v>0</v>
      </c>
      <c r="H449" s="140">
        <v>0</v>
      </c>
      <c r="I449" s="140">
        <v>0</v>
      </c>
      <c r="J449" s="140">
        <v>0</v>
      </c>
      <c r="K449" s="28"/>
    </row>
    <row r="450" spans="1:11" s="18" customFormat="1" ht="25.5">
      <c r="A450" s="632"/>
      <c r="B450" s="632"/>
      <c r="C450" s="172" t="s">
        <v>226</v>
      </c>
      <c r="D450" s="140">
        <v>0</v>
      </c>
      <c r="E450" s="140">
        <v>0</v>
      </c>
      <c r="F450" s="140">
        <v>0</v>
      </c>
      <c r="G450" s="140">
        <v>0</v>
      </c>
      <c r="H450" s="140">
        <v>0</v>
      </c>
      <c r="I450" s="140">
        <v>0</v>
      </c>
      <c r="J450" s="140">
        <v>0</v>
      </c>
      <c r="K450" s="28"/>
    </row>
    <row r="451" spans="1:11" s="18" customFormat="1" ht="12.75">
      <c r="A451" s="632"/>
      <c r="B451" s="632"/>
      <c r="C451" s="42" t="s">
        <v>231</v>
      </c>
      <c r="D451" s="43">
        <v>99356</v>
      </c>
      <c r="E451" s="43">
        <f t="shared" ref="E451:J451" si="138">E452+E453+E454</f>
        <v>99356</v>
      </c>
      <c r="F451" s="43">
        <f t="shared" si="138"/>
        <v>0</v>
      </c>
      <c r="G451" s="43">
        <f t="shared" si="138"/>
        <v>0</v>
      </c>
      <c r="H451" s="43">
        <f t="shared" si="138"/>
        <v>0</v>
      </c>
      <c r="I451" s="43">
        <f t="shared" si="138"/>
        <v>99356</v>
      </c>
      <c r="J451" s="43">
        <f t="shared" si="138"/>
        <v>110000</v>
      </c>
      <c r="K451" s="28"/>
    </row>
    <row r="452" spans="1:11" s="18" customFormat="1" ht="16.5" customHeight="1">
      <c r="A452" s="632"/>
      <c r="B452" s="632"/>
      <c r="C452" s="56" t="s">
        <v>230</v>
      </c>
      <c r="D452" s="45">
        <v>39556</v>
      </c>
      <c r="E452" s="57">
        <f>'Wykonanie 8 2025'!I1053+'Wykonanie 8 2025'!I1056+'Wykonanie 8 2025'!I1058+'Wykonanie 8 2025'!I1060</f>
        <v>53756</v>
      </c>
      <c r="F452" s="57">
        <v>0</v>
      </c>
      <c r="G452" s="57">
        <v>0</v>
      </c>
      <c r="H452" s="57">
        <v>0</v>
      </c>
      <c r="I452" s="57">
        <f>D452</f>
        <v>39556</v>
      </c>
      <c r="J452" s="57">
        <v>58000</v>
      </c>
      <c r="K452" s="28"/>
    </row>
    <row r="453" spans="1:11" s="18" customFormat="1" ht="12.75">
      <c r="A453" s="632"/>
      <c r="B453" s="632"/>
      <c r="C453" s="134" t="s">
        <v>263</v>
      </c>
      <c r="D453" s="45">
        <v>0</v>
      </c>
      <c r="E453" s="57">
        <v>0</v>
      </c>
      <c r="F453" s="57">
        <v>0</v>
      </c>
      <c r="G453" s="57">
        <v>0</v>
      </c>
      <c r="H453" s="57">
        <v>0</v>
      </c>
      <c r="I453" s="57">
        <f t="shared" ref="I453:I454" si="139">D453</f>
        <v>0</v>
      </c>
      <c r="J453" s="57">
        <v>52000</v>
      </c>
      <c r="K453" s="28"/>
    </row>
    <row r="454" spans="1:11" s="18" customFormat="1" ht="25.5">
      <c r="A454" s="632"/>
      <c r="B454" s="632"/>
      <c r="C454" s="56" t="s">
        <v>226</v>
      </c>
      <c r="D454" s="45">
        <v>59800</v>
      </c>
      <c r="E454" s="57">
        <f>'Wykonanie 8 2025'!I1062+'Wykonanie 8 2025'!I1064+'Wykonanie 8 2025'!I1066+'Wykonanie 8 2025'!I1068+'Wykonanie 8 2025'!I1071</f>
        <v>45600</v>
      </c>
      <c r="F454" s="57">
        <v>0</v>
      </c>
      <c r="G454" s="57">
        <v>0</v>
      </c>
      <c r="H454" s="57">
        <v>0</v>
      </c>
      <c r="I454" s="57">
        <f t="shared" si="139"/>
        <v>59800</v>
      </c>
      <c r="J454" s="57">
        <v>0</v>
      </c>
      <c r="K454" s="28"/>
    </row>
    <row r="455" spans="1:11" s="18" customFormat="1" ht="12.75">
      <c r="A455" s="632"/>
      <c r="B455" s="632"/>
      <c r="C455" s="42" t="s">
        <v>265</v>
      </c>
      <c r="D455" s="43">
        <v>0</v>
      </c>
      <c r="E455" s="43">
        <f t="shared" ref="E455:J455" si="140">E456+E457+E458</f>
        <v>3624.1000000000004</v>
      </c>
      <c r="F455" s="43">
        <f t="shared" si="140"/>
        <v>0</v>
      </c>
      <c r="G455" s="43">
        <f t="shared" si="140"/>
        <v>0</v>
      </c>
      <c r="H455" s="43">
        <f t="shared" si="140"/>
        <v>0</v>
      </c>
      <c r="I455" s="43">
        <f t="shared" si="140"/>
        <v>0</v>
      </c>
      <c r="J455" s="43">
        <f t="shared" si="140"/>
        <v>0</v>
      </c>
      <c r="K455" s="28"/>
    </row>
    <row r="456" spans="1:11" s="18" customFormat="1" ht="14.25" customHeight="1">
      <c r="A456" s="632"/>
      <c r="B456" s="632"/>
      <c r="C456" s="56" t="s">
        <v>230</v>
      </c>
      <c r="D456" s="45">
        <v>0</v>
      </c>
      <c r="E456" s="57">
        <f>'Wykonanie 8 2025'!I1075+'Wykonanie 8 2025'!I1076+'Wykonanie 8 2025'!I1077</f>
        <v>2465.17</v>
      </c>
      <c r="F456" s="57">
        <v>0</v>
      </c>
      <c r="G456" s="57">
        <v>0</v>
      </c>
      <c r="H456" s="57">
        <v>0</v>
      </c>
      <c r="I456" s="57">
        <v>0</v>
      </c>
      <c r="J456" s="57">
        <v>0</v>
      </c>
      <c r="K456" s="28"/>
    </row>
    <row r="457" spans="1:11" s="18" customFormat="1" ht="12.75">
      <c r="A457" s="632"/>
      <c r="B457" s="632"/>
      <c r="C457" s="134" t="s">
        <v>263</v>
      </c>
      <c r="D457" s="45">
        <v>0</v>
      </c>
      <c r="E457" s="57">
        <v>0</v>
      </c>
      <c r="F457" s="57">
        <f t="shared" ref="F457" si="141">E457</f>
        <v>0</v>
      </c>
      <c r="G457" s="57">
        <v>0</v>
      </c>
      <c r="H457" s="57">
        <v>0</v>
      </c>
      <c r="I457" s="57">
        <v>0</v>
      </c>
      <c r="J457" s="57">
        <v>0</v>
      </c>
      <c r="K457" s="28"/>
    </row>
    <row r="458" spans="1:11" s="18" customFormat="1" ht="25.5">
      <c r="A458" s="632"/>
      <c r="B458" s="632"/>
      <c r="C458" s="56" t="s">
        <v>226</v>
      </c>
      <c r="D458" s="45">
        <v>0</v>
      </c>
      <c r="E458" s="57">
        <f>'Wykonanie 8 2025'!I1070+'Wykonanie 8 2025'!I1073+'Wykonanie 8 2025'!I1078</f>
        <v>1158.93</v>
      </c>
      <c r="F458" s="57">
        <v>0</v>
      </c>
      <c r="G458" s="57">
        <v>0</v>
      </c>
      <c r="H458" s="57">
        <v>0</v>
      </c>
      <c r="I458" s="57">
        <v>0</v>
      </c>
      <c r="J458" s="57">
        <v>0</v>
      </c>
      <c r="K458" s="28"/>
    </row>
    <row r="459" spans="1:11" s="18" customFormat="1" ht="12.75">
      <c r="A459" s="632"/>
      <c r="B459" s="636"/>
      <c r="C459" s="56"/>
      <c r="D459" s="45">
        <v>0</v>
      </c>
      <c r="E459" s="57">
        <v>0</v>
      </c>
      <c r="F459" s="57">
        <v>0</v>
      </c>
      <c r="G459" s="57">
        <v>0</v>
      </c>
      <c r="H459" s="57">
        <v>0</v>
      </c>
      <c r="I459" s="57">
        <v>0</v>
      </c>
      <c r="J459" s="57">
        <v>0</v>
      </c>
      <c r="K459" s="28"/>
    </row>
    <row r="460" spans="1:11" s="18" customFormat="1" ht="25.5">
      <c r="A460" s="632"/>
      <c r="B460" s="37">
        <v>85324</v>
      </c>
      <c r="C460" s="38" t="s">
        <v>174</v>
      </c>
      <c r="D460" s="39">
        <v>25272</v>
      </c>
      <c r="E460" s="39">
        <f t="shared" ref="E460:J460" si="142">E461+E464</f>
        <v>81483</v>
      </c>
      <c r="F460" s="39">
        <f t="shared" si="142"/>
        <v>81483</v>
      </c>
      <c r="G460" s="39">
        <f t="shared" si="142"/>
        <v>0</v>
      </c>
      <c r="H460" s="39">
        <f t="shared" si="142"/>
        <v>0</v>
      </c>
      <c r="I460" s="39">
        <f t="shared" si="142"/>
        <v>26397</v>
      </c>
      <c r="J460" s="39">
        <f t="shared" si="142"/>
        <v>26397</v>
      </c>
      <c r="K460" s="28"/>
    </row>
    <row r="461" spans="1:11" s="18" customFormat="1" ht="12.75">
      <c r="A461" s="632"/>
      <c r="B461" s="53"/>
      <c r="C461" s="120" t="s">
        <v>217</v>
      </c>
      <c r="D461" s="121">
        <v>25272</v>
      </c>
      <c r="E461" s="122">
        <f t="shared" ref="E461:J461" si="143">E462+E463</f>
        <v>81483</v>
      </c>
      <c r="F461" s="122">
        <f t="shared" si="143"/>
        <v>81483</v>
      </c>
      <c r="G461" s="122">
        <f t="shared" si="143"/>
        <v>0</v>
      </c>
      <c r="H461" s="122">
        <f t="shared" si="143"/>
        <v>0</v>
      </c>
      <c r="I461" s="122">
        <f t="shared" si="143"/>
        <v>26397</v>
      </c>
      <c r="J461" s="122">
        <f t="shared" si="143"/>
        <v>26397</v>
      </c>
      <c r="K461" s="28"/>
    </row>
    <row r="462" spans="1:11" s="40" customFormat="1" ht="16.5" customHeight="1">
      <c r="A462" s="632"/>
      <c r="B462" s="632"/>
      <c r="C462" s="56" t="s">
        <v>230</v>
      </c>
      <c r="D462" s="45">
        <v>24373</v>
      </c>
      <c r="E462" s="57">
        <f>'Wykonanie 8 2025'!I1079+'Wykonanie 8 2025'!I1080+'Wykonanie 8 2025'!I1081+'Wykonanie 8 2025'!I1082+'Wykonanie 8 2025'!I1083</f>
        <v>68334</v>
      </c>
      <c r="F462" s="57">
        <v>68334</v>
      </c>
      <c r="G462" s="57">
        <v>0</v>
      </c>
      <c r="H462" s="57">
        <v>0</v>
      </c>
      <c r="I462" s="57">
        <v>24373</v>
      </c>
      <c r="J462" s="57">
        <v>24373</v>
      </c>
      <c r="K462" s="61"/>
    </row>
    <row r="463" spans="1:11" s="48" customFormat="1" ht="25.5">
      <c r="A463" s="632"/>
      <c r="B463" s="632"/>
      <c r="C463" s="56" t="s">
        <v>226</v>
      </c>
      <c r="D463" s="45">
        <v>899</v>
      </c>
      <c r="E463" s="57">
        <f>'Wykonanie 8 2025'!I1084+'Wykonanie 8 2025'!I1085</f>
        <v>13149</v>
      </c>
      <c r="F463" s="57">
        <v>13149</v>
      </c>
      <c r="G463" s="57">
        <v>0</v>
      </c>
      <c r="H463" s="57">
        <v>0</v>
      </c>
      <c r="I463" s="57">
        <v>2024</v>
      </c>
      <c r="J463" s="57">
        <v>2024</v>
      </c>
      <c r="K463" s="58"/>
    </row>
    <row r="464" spans="1:11" s="40" customFormat="1" ht="12.75">
      <c r="A464" s="632"/>
      <c r="B464" s="53"/>
      <c r="C464" s="42" t="s">
        <v>231</v>
      </c>
      <c r="D464" s="43">
        <v>0</v>
      </c>
      <c r="E464" s="43">
        <f t="shared" ref="E464:J464" si="144">E465</f>
        <v>0</v>
      </c>
      <c r="F464" s="43">
        <f t="shared" si="144"/>
        <v>0</v>
      </c>
      <c r="G464" s="43">
        <f t="shared" si="144"/>
        <v>0</v>
      </c>
      <c r="H464" s="43">
        <f t="shared" si="144"/>
        <v>0</v>
      </c>
      <c r="I464" s="43">
        <f t="shared" si="144"/>
        <v>0</v>
      </c>
      <c r="J464" s="43">
        <f t="shared" si="144"/>
        <v>0</v>
      </c>
      <c r="K464" s="61"/>
    </row>
    <row r="465" spans="1:13" s="40" customFormat="1" ht="25.5">
      <c r="A465" s="632"/>
      <c r="B465" s="53"/>
      <c r="C465" s="44" t="s">
        <v>226</v>
      </c>
      <c r="D465" s="45">
        <v>0</v>
      </c>
      <c r="E465" s="46">
        <v>0</v>
      </c>
      <c r="F465" s="46"/>
      <c r="G465" s="46"/>
      <c r="H465" s="46"/>
      <c r="I465" s="46">
        <v>0</v>
      </c>
      <c r="J465" s="46">
        <v>0</v>
      </c>
      <c r="K465" s="61"/>
    </row>
    <row r="466" spans="1:13" s="40" customFormat="1" ht="12.75">
      <c r="A466" s="632"/>
      <c r="B466" s="37">
        <v>85333</v>
      </c>
      <c r="C466" s="38" t="s">
        <v>176</v>
      </c>
      <c r="D466" s="39">
        <v>4288085.37</v>
      </c>
      <c r="E466" s="39">
        <f t="shared" ref="E466:J466" si="145">E467+E471+E474</f>
        <v>4175098.3699999996</v>
      </c>
      <c r="F466" s="39">
        <f t="shared" si="145"/>
        <v>4161207.3699999996</v>
      </c>
      <c r="G466" s="39">
        <f t="shared" si="145"/>
        <v>0</v>
      </c>
      <c r="H466" s="39">
        <f t="shared" si="145"/>
        <v>0</v>
      </c>
      <c r="I466" s="39">
        <f t="shared" si="145"/>
        <v>4676039.6500000004</v>
      </c>
      <c r="J466" s="39">
        <f t="shared" si="145"/>
        <v>4454099</v>
      </c>
      <c r="K466" s="61"/>
    </row>
    <row r="467" spans="1:13" s="40" customFormat="1" ht="12.75">
      <c r="A467" s="632"/>
      <c r="B467" s="633"/>
      <c r="C467" s="120" t="s">
        <v>178</v>
      </c>
      <c r="D467" s="121">
        <v>4288085.37</v>
      </c>
      <c r="E467" s="122">
        <f>E468+E469+E470</f>
        <v>4175098.3699999996</v>
      </c>
      <c r="F467" s="122">
        <f>F468+F469+F470</f>
        <v>4161207.3699999996</v>
      </c>
      <c r="G467" s="122">
        <f>G468+G469+G470</f>
        <v>0</v>
      </c>
      <c r="H467" s="122"/>
      <c r="I467" s="122">
        <f>I468+I469+I470</f>
        <v>4676039.6500000004</v>
      </c>
      <c r="J467" s="122">
        <f>J468+J469+J470</f>
        <v>4454099</v>
      </c>
      <c r="K467" s="367"/>
    </row>
    <row r="468" spans="1:13" s="40" customFormat="1" ht="17.25" customHeight="1">
      <c r="A468" s="632"/>
      <c r="B468" s="632"/>
      <c r="C468" s="56" t="s">
        <v>230</v>
      </c>
      <c r="D468" s="45">
        <v>3947101.01</v>
      </c>
      <c r="E468" s="57">
        <f>'Wykonanie 8 2025'!I1087+'Wykonanie 8 2025'!I1088+'Wykonanie 8 2025'!I1089+'Wykonanie 8 2025'!I1090+'Wykonanie 8 2025'!I1102</f>
        <v>3837114.01</v>
      </c>
      <c r="F468" s="57">
        <v>3826598.01</v>
      </c>
      <c r="G468" s="57">
        <v>0</v>
      </c>
      <c r="H468" s="57">
        <v>0</v>
      </c>
      <c r="I468" s="57">
        <v>4263610.32</v>
      </c>
      <c r="J468" s="57">
        <v>4113269</v>
      </c>
      <c r="K468" s="61"/>
    </row>
    <row r="469" spans="1:13" s="40" customFormat="1" ht="12.75">
      <c r="A469" s="632"/>
      <c r="B469" s="632"/>
      <c r="C469" s="134" t="s">
        <v>263</v>
      </c>
      <c r="D469" s="45">
        <v>6000</v>
      </c>
      <c r="E469" s="57">
        <f>'Wykonanie 8 2025'!I1086</f>
        <v>3000</v>
      </c>
      <c r="F469" s="57">
        <v>3000</v>
      </c>
      <c r="G469" s="57">
        <v>0</v>
      </c>
      <c r="H469" s="57">
        <v>0</v>
      </c>
      <c r="I469" s="57">
        <v>6600</v>
      </c>
      <c r="J469" s="57">
        <v>2000</v>
      </c>
      <c r="K469" s="61"/>
    </row>
    <row r="470" spans="1:13" s="40" customFormat="1" ht="25.5">
      <c r="A470" s="632"/>
      <c r="B470" s="632"/>
      <c r="C470" s="56" t="s">
        <v>226</v>
      </c>
      <c r="D470" s="45">
        <v>334984.36</v>
      </c>
      <c r="E470" s="57">
        <f>'Wykonanie 8 2025'!I1091+'Wykonanie 8 2025'!I1092+'Wykonanie 8 2025'!I1093+'Wykonanie 8 2025'!I1094+'Wykonanie 8 2025'!I1095+'Wykonanie 8 2025'!I1096+'Wykonanie 8 2025'!I1097+'Wykonanie 8 2025'!I1098+'Wykonanie 8 2025'!I1099+'Wykonanie 8 2025'!I1100+'Wykonanie 8 2025'!I1101</f>
        <v>334984.36</v>
      </c>
      <c r="F470" s="57">
        <v>331609.36</v>
      </c>
      <c r="G470" s="57">
        <v>0</v>
      </c>
      <c r="H470" s="57">
        <v>0</v>
      </c>
      <c r="I470" s="57">
        <v>405829.33</v>
      </c>
      <c r="J470" s="57">
        <v>338830</v>
      </c>
      <c r="K470" s="61"/>
      <c r="M470" s="61"/>
    </row>
    <row r="471" spans="1:13" s="40" customFormat="1" ht="12.75">
      <c r="A471" s="53"/>
      <c r="B471" s="53"/>
      <c r="C471" s="42" t="s">
        <v>231</v>
      </c>
      <c r="D471" s="43">
        <v>0</v>
      </c>
      <c r="E471" s="43">
        <f t="shared" ref="E471:J471" si="146">E472+E473</f>
        <v>0</v>
      </c>
      <c r="F471" s="43">
        <f t="shared" si="146"/>
        <v>0</v>
      </c>
      <c r="G471" s="43">
        <f t="shared" si="146"/>
        <v>0</v>
      </c>
      <c r="H471" s="43">
        <f t="shared" si="146"/>
        <v>0</v>
      </c>
      <c r="I471" s="43">
        <f t="shared" si="146"/>
        <v>0</v>
      </c>
      <c r="J471" s="43">
        <f t="shared" si="146"/>
        <v>0</v>
      </c>
      <c r="K471" s="61"/>
    </row>
    <row r="472" spans="1:13" s="40" customFormat="1" ht="15.75" customHeight="1">
      <c r="A472" s="53"/>
      <c r="B472" s="53"/>
      <c r="C472" s="44" t="s">
        <v>230</v>
      </c>
      <c r="D472" s="45">
        <v>0</v>
      </c>
      <c r="E472" s="46">
        <v>0</v>
      </c>
      <c r="F472" s="46">
        <v>0</v>
      </c>
      <c r="G472" s="46">
        <v>0</v>
      </c>
      <c r="H472" s="46">
        <v>0</v>
      </c>
      <c r="I472" s="46">
        <v>0</v>
      </c>
      <c r="J472" s="46">
        <v>0</v>
      </c>
      <c r="K472" s="61"/>
    </row>
    <row r="473" spans="1:13" s="40" customFormat="1" ht="25.5">
      <c r="A473" s="53"/>
      <c r="B473" s="53"/>
      <c r="C473" s="44" t="s">
        <v>226</v>
      </c>
      <c r="D473" s="45">
        <v>0</v>
      </c>
      <c r="E473" s="46">
        <v>0</v>
      </c>
      <c r="F473" s="46">
        <f>E473</f>
        <v>0</v>
      </c>
      <c r="G473" s="46">
        <v>0</v>
      </c>
      <c r="H473" s="46">
        <v>0</v>
      </c>
      <c r="I473" s="46">
        <v>0</v>
      </c>
      <c r="J473" s="46">
        <v>0</v>
      </c>
      <c r="K473" s="61"/>
    </row>
    <row r="474" spans="1:13" s="40" customFormat="1" ht="12.75">
      <c r="A474" s="53"/>
      <c r="B474" s="53"/>
      <c r="C474" s="42" t="s">
        <v>234</v>
      </c>
      <c r="D474" s="43">
        <v>0</v>
      </c>
      <c r="E474" s="43">
        <f t="shared" ref="E474:J474" si="147">E475</f>
        <v>0</v>
      </c>
      <c r="F474" s="43">
        <f t="shared" si="147"/>
        <v>0</v>
      </c>
      <c r="G474" s="43">
        <f t="shared" si="147"/>
        <v>0</v>
      </c>
      <c r="H474" s="43">
        <f t="shared" si="147"/>
        <v>0</v>
      </c>
      <c r="I474" s="43">
        <f t="shared" si="147"/>
        <v>0</v>
      </c>
      <c r="J474" s="43">
        <f t="shared" si="147"/>
        <v>0</v>
      </c>
      <c r="K474" s="61"/>
    </row>
    <row r="475" spans="1:13" s="40" customFormat="1" ht="25.5">
      <c r="A475" s="53"/>
      <c r="B475" s="53"/>
      <c r="C475" s="44" t="s">
        <v>226</v>
      </c>
      <c r="D475" s="45">
        <v>0</v>
      </c>
      <c r="E475" s="45">
        <v>0</v>
      </c>
      <c r="F475" s="46"/>
      <c r="G475" s="46"/>
      <c r="H475" s="46"/>
      <c r="I475" s="46"/>
      <c r="J475" s="46">
        <v>0</v>
      </c>
      <c r="K475" s="61"/>
    </row>
    <row r="476" spans="1:13" s="40" customFormat="1" ht="12.75">
      <c r="A476" s="53"/>
      <c r="B476" s="37" t="s">
        <v>289</v>
      </c>
      <c r="C476" s="38" t="s">
        <v>45</v>
      </c>
      <c r="D476" s="39">
        <v>1509913.2</v>
      </c>
      <c r="E476" s="39">
        <f>E477+E479+E483</f>
        <v>3040587.9699999997</v>
      </c>
      <c r="F476" s="39">
        <f t="shared" ref="F476:J476" si="148">F477+F479+F483</f>
        <v>2622408.39</v>
      </c>
      <c r="G476" s="39">
        <f t="shared" si="148"/>
        <v>0</v>
      </c>
      <c r="H476" s="39">
        <f t="shared" si="148"/>
        <v>0</v>
      </c>
      <c r="I476" s="39">
        <f t="shared" si="148"/>
        <v>273855.2</v>
      </c>
      <c r="J476" s="39">
        <f t="shared" si="148"/>
        <v>273855.2</v>
      </c>
      <c r="K476" s="61"/>
    </row>
    <row r="477" spans="1:13" s="40" customFormat="1" ht="12.75">
      <c r="A477" s="53"/>
      <c r="B477" s="633"/>
      <c r="C477" s="42" t="s">
        <v>231</v>
      </c>
      <c r="D477" s="43">
        <v>0</v>
      </c>
      <c r="E477" s="43">
        <f t="shared" ref="E477:J477" si="149">E478</f>
        <v>0</v>
      </c>
      <c r="F477" s="43">
        <f t="shared" si="149"/>
        <v>0</v>
      </c>
      <c r="G477" s="43">
        <f t="shared" si="149"/>
        <v>0</v>
      </c>
      <c r="H477" s="43">
        <f t="shared" si="149"/>
        <v>0</v>
      </c>
      <c r="I477" s="43">
        <f t="shared" si="149"/>
        <v>0</v>
      </c>
      <c r="J477" s="43">
        <f t="shared" si="149"/>
        <v>0</v>
      </c>
      <c r="K477" s="61"/>
    </row>
    <row r="478" spans="1:13" s="40" customFormat="1" ht="25.5">
      <c r="A478" s="53"/>
      <c r="B478" s="632"/>
      <c r="C478" s="44" t="s">
        <v>226</v>
      </c>
      <c r="D478" s="45"/>
      <c r="E478" s="45">
        <v>0</v>
      </c>
      <c r="F478" s="45"/>
      <c r="G478" s="45"/>
      <c r="H478" s="45"/>
      <c r="I478" s="45"/>
      <c r="J478" s="45"/>
      <c r="K478" s="61"/>
    </row>
    <row r="479" spans="1:13" s="18" customFormat="1" ht="12.75">
      <c r="A479" s="53"/>
      <c r="B479" s="53"/>
      <c r="C479" s="120" t="s">
        <v>217</v>
      </c>
      <c r="D479" s="121">
        <v>602713.19999999995</v>
      </c>
      <c r="E479" s="121">
        <f t="shared" ref="E479:J479" si="150">E480</f>
        <v>690408.39</v>
      </c>
      <c r="F479" s="121">
        <f t="shared" si="150"/>
        <v>690408.39</v>
      </c>
      <c r="G479" s="121">
        <f t="shared" si="150"/>
        <v>0</v>
      </c>
      <c r="H479" s="121">
        <f t="shared" si="150"/>
        <v>0</v>
      </c>
      <c r="I479" s="121">
        <f t="shared" si="150"/>
        <v>273855.2</v>
      </c>
      <c r="J479" s="121">
        <f t="shared" si="150"/>
        <v>273855.2</v>
      </c>
      <c r="K479" s="28"/>
    </row>
    <row r="480" spans="1:13" s="18" customFormat="1" ht="22.5">
      <c r="A480" s="53"/>
      <c r="B480" s="53"/>
      <c r="C480" s="144" t="s">
        <v>278</v>
      </c>
      <c r="D480" s="45">
        <v>602713.19999999995</v>
      </c>
      <c r="E480" s="45">
        <f t="shared" ref="E480:J480" si="151">E481+E482</f>
        <v>690408.39</v>
      </c>
      <c r="F480" s="45">
        <f t="shared" si="151"/>
        <v>690408.39</v>
      </c>
      <c r="G480" s="45">
        <f t="shared" si="151"/>
        <v>0</v>
      </c>
      <c r="H480" s="45">
        <f t="shared" si="151"/>
        <v>0</v>
      </c>
      <c r="I480" s="45">
        <f t="shared" si="151"/>
        <v>273855.2</v>
      </c>
      <c r="J480" s="45">
        <f t="shared" si="151"/>
        <v>273855.2</v>
      </c>
      <c r="K480" s="28"/>
    </row>
    <row r="481" spans="1:12" s="18" customFormat="1" ht="12.75">
      <c r="A481" s="53"/>
      <c r="B481" s="53"/>
      <c r="C481" s="185" t="s">
        <v>668</v>
      </c>
      <c r="D481" s="186">
        <v>602713.19999999995</v>
      </c>
      <c r="E481" s="186">
        <f>'Wykonanie 8 2025'!I1105+'Wykonanie 8 2025'!I1107+'Wykonanie 8 2025'!I1108+'Wykonanie 8 2025'!I1110+'Wykonanie 8 2025'!I1111+'Wykonanie 8 2025'!I1113+'Wykonanie 8 2025'!I1114+'Wykonanie 8 2025'!I1116+'Wykonanie 8 2025'!I1117+'Wykonanie 8 2025'!I1118+'Wykonanie 8 2025'!I1119+'Wykonanie 8 2025'!I1121+'Wykonanie 8 2025'!I1122+'Wykonanie 8 2025'!I1124+'Wykonanie 8 2025'!I1125+'Wykonanie 8 2025'!I1127+'Wykonanie 8 2025'!I1128+'Wykonanie 8 2025'!I1130+'Wykonanie 8 2025'!I1131</f>
        <v>690408.39</v>
      </c>
      <c r="F481" s="186">
        <v>690408.39</v>
      </c>
      <c r="G481" s="186">
        <v>0</v>
      </c>
      <c r="H481" s="186">
        <v>0</v>
      </c>
      <c r="I481" s="186">
        <v>273855.2</v>
      </c>
      <c r="J481" s="186">
        <v>273855.2</v>
      </c>
      <c r="K481" s="28"/>
      <c r="L481" s="28"/>
    </row>
    <row r="482" spans="1:12" s="18" customFormat="1" ht="12.75">
      <c r="A482" s="53"/>
      <c r="B482" s="53"/>
      <c r="C482" s="185"/>
      <c r="D482" s="186">
        <v>0</v>
      </c>
      <c r="E482" s="186">
        <v>0</v>
      </c>
      <c r="F482" s="186">
        <v>0</v>
      </c>
      <c r="G482" s="186"/>
      <c r="H482" s="186">
        <v>0</v>
      </c>
      <c r="I482" s="186">
        <v>0</v>
      </c>
      <c r="J482" s="186">
        <v>0</v>
      </c>
      <c r="K482" s="28"/>
    </row>
    <row r="483" spans="1:12" s="18" customFormat="1" ht="12.75">
      <c r="A483" s="53"/>
      <c r="B483" s="53"/>
      <c r="C483" s="120" t="s">
        <v>706</v>
      </c>
      <c r="D483" s="121">
        <v>907200</v>
      </c>
      <c r="E483" s="121">
        <f t="shared" ref="E483:J484" si="152">E484</f>
        <v>2350179.5799999996</v>
      </c>
      <c r="F483" s="121">
        <f t="shared" si="152"/>
        <v>1932000</v>
      </c>
      <c r="G483" s="121">
        <f t="shared" si="152"/>
        <v>0</v>
      </c>
      <c r="H483" s="121">
        <f t="shared" si="152"/>
        <v>0</v>
      </c>
      <c r="I483" s="121">
        <f t="shared" si="152"/>
        <v>0</v>
      </c>
      <c r="J483" s="121">
        <f t="shared" si="152"/>
        <v>0</v>
      </c>
      <c r="K483" s="28"/>
    </row>
    <row r="484" spans="1:12" s="18" customFormat="1" ht="22.5">
      <c r="A484" s="53"/>
      <c r="B484" s="53"/>
      <c r="C484" s="144" t="s">
        <v>278</v>
      </c>
      <c r="D484" s="45">
        <v>907200</v>
      </c>
      <c r="E484" s="45">
        <f t="shared" si="152"/>
        <v>2350179.5799999996</v>
      </c>
      <c r="F484" s="45">
        <f t="shared" si="152"/>
        <v>1932000</v>
      </c>
      <c r="G484" s="45">
        <f t="shared" si="152"/>
        <v>0</v>
      </c>
      <c r="H484" s="45">
        <f t="shared" si="152"/>
        <v>0</v>
      </c>
      <c r="I484" s="45"/>
      <c r="J484" s="45"/>
      <c r="K484" s="28"/>
    </row>
    <row r="485" spans="1:12" s="18" customFormat="1" ht="12.75">
      <c r="A485" s="53"/>
      <c r="B485" s="53"/>
      <c r="C485" s="185" t="s">
        <v>670</v>
      </c>
      <c r="D485" s="186">
        <v>907000</v>
      </c>
      <c r="E485" s="186">
        <f>'Wykonanie 8 2025'!I1103+'Wykonanie 8 2025'!I1106+'Wykonanie 8 2025'!I1109+'Wykonanie 8 2025'!I1112+'Wykonanie 8 2025'!I1115+'Wykonanie 8 2025'!I1120+'Wykonanie 8 2025'!I1123+'Wykonanie 8 2025'!I1129</f>
        <v>2350179.5799999996</v>
      </c>
      <c r="F485" s="186">
        <v>1932000</v>
      </c>
      <c r="G485" s="186">
        <v>0</v>
      </c>
      <c r="H485" s="186">
        <v>0</v>
      </c>
      <c r="I485" s="186"/>
      <c r="J485" s="186"/>
      <c r="K485" s="28"/>
      <c r="L485" s="28"/>
    </row>
    <row r="486" spans="1:12" s="18" customFormat="1" ht="12.75">
      <c r="A486" s="33">
        <v>854</v>
      </c>
      <c r="B486" s="34"/>
      <c r="C486" s="173" t="s">
        <v>181</v>
      </c>
      <c r="D486" s="36">
        <v>14946269.289999999</v>
      </c>
      <c r="E486" s="36">
        <f t="shared" ref="E486:J486" si="153">E487+E499+E514+E538+E551+E554+E557+E560+E565+E568</f>
        <v>15166788.25</v>
      </c>
      <c r="F486" s="36">
        <f t="shared" si="153"/>
        <v>15686623.129999999</v>
      </c>
      <c r="G486" s="36">
        <f t="shared" si="153"/>
        <v>19753</v>
      </c>
      <c r="H486" s="36">
        <f t="shared" si="153"/>
        <v>0</v>
      </c>
      <c r="I486" s="36">
        <f t="shared" si="153"/>
        <v>17771537</v>
      </c>
      <c r="J486" s="36">
        <f t="shared" si="153"/>
        <v>17470623</v>
      </c>
      <c r="K486" s="28"/>
    </row>
    <row r="487" spans="1:12" s="48" customFormat="1">
      <c r="A487" s="100"/>
      <c r="B487" s="37">
        <v>85403</v>
      </c>
      <c r="C487" s="174" t="s">
        <v>182</v>
      </c>
      <c r="D487" s="39">
        <v>2869076.04</v>
      </c>
      <c r="E487" s="39">
        <f>E488+E491+E494</f>
        <v>2869076.04</v>
      </c>
      <c r="F487" s="39">
        <f>F488+F491+F494</f>
        <v>2986037</v>
      </c>
      <c r="G487" s="39">
        <f>G488+G491+G494</f>
        <v>0</v>
      </c>
      <c r="H487" s="39">
        <f>H488</f>
        <v>0</v>
      </c>
      <c r="I487" s="39">
        <f>I488+I491+I494</f>
        <v>3067729</v>
      </c>
      <c r="J487" s="39">
        <f>J488+J491+J494</f>
        <v>3026115</v>
      </c>
      <c r="K487" s="58"/>
    </row>
    <row r="488" spans="1:12" s="48" customFormat="1">
      <c r="A488" s="68"/>
      <c r="B488" s="62"/>
      <c r="C488" s="117" t="s">
        <v>259</v>
      </c>
      <c r="D488" s="43">
        <v>42718</v>
      </c>
      <c r="E488" s="43">
        <f>E489+E490</f>
        <v>42718</v>
      </c>
      <c r="F488" s="43">
        <f>F490</f>
        <v>0</v>
      </c>
      <c r="G488" s="43">
        <f>G490</f>
        <v>0</v>
      </c>
      <c r="H488" s="43">
        <f>H490</f>
        <v>0</v>
      </c>
      <c r="I488" s="43">
        <f>I489+I490</f>
        <v>54885</v>
      </c>
      <c r="J488" s="43">
        <f>J489+J490</f>
        <v>54885</v>
      </c>
      <c r="K488" s="58"/>
    </row>
    <row r="489" spans="1:12" s="48" customFormat="1">
      <c r="A489" s="68"/>
      <c r="B489" s="53"/>
      <c r="C489" s="361" t="s">
        <v>262</v>
      </c>
      <c r="D489" s="118">
        <v>29704</v>
      </c>
      <c r="E489" s="118">
        <f>'Wykonanie 8 2025'!I1151</f>
        <v>29704</v>
      </c>
      <c r="F489" s="175">
        <v>0</v>
      </c>
      <c r="G489" s="175">
        <v>0</v>
      </c>
      <c r="H489" s="175">
        <v>0</v>
      </c>
      <c r="I489" s="175">
        <v>54329</v>
      </c>
      <c r="J489" s="175">
        <v>54329</v>
      </c>
      <c r="K489" s="58"/>
    </row>
    <row r="490" spans="1:12" s="48" customFormat="1" ht="16.5" customHeight="1">
      <c r="A490" s="68"/>
      <c r="B490" s="53"/>
      <c r="C490" s="172" t="s">
        <v>230</v>
      </c>
      <c r="D490" s="118">
        <v>13014</v>
      </c>
      <c r="E490" s="118">
        <f>'Wykonanie 8 2025'!I1134+'Wykonanie 8 2025'!I1137+'Wykonanie 8 2025'!I1138</f>
        <v>13014</v>
      </c>
      <c r="F490" s="175">
        <v>0</v>
      </c>
      <c r="G490" s="175">
        <v>0</v>
      </c>
      <c r="H490" s="175">
        <v>0</v>
      </c>
      <c r="I490" s="175">
        <f>487+69</f>
        <v>556</v>
      </c>
      <c r="J490" s="175">
        <f>I490</f>
        <v>556</v>
      </c>
      <c r="K490" s="58"/>
    </row>
    <row r="491" spans="1:12" s="48" customFormat="1">
      <c r="A491" s="163"/>
      <c r="B491" s="53"/>
      <c r="C491" s="139" t="s">
        <v>231</v>
      </c>
      <c r="D491" s="43">
        <v>16469.04</v>
      </c>
      <c r="E491" s="43">
        <f t="shared" ref="E491:J491" si="154">E492+E493</f>
        <v>16469.04</v>
      </c>
      <c r="F491" s="43">
        <f t="shared" si="154"/>
        <v>0</v>
      </c>
      <c r="G491" s="43">
        <f t="shared" si="154"/>
        <v>0</v>
      </c>
      <c r="H491" s="43">
        <f t="shared" si="154"/>
        <v>0</v>
      </c>
      <c r="I491" s="43">
        <f t="shared" si="154"/>
        <v>16469</v>
      </c>
      <c r="J491" s="43">
        <f t="shared" si="154"/>
        <v>20000</v>
      </c>
      <c r="K491" s="58"/>
    </row>
    <row r="492" spans="1:12" s="48" customFormat="1" ht="14.25" customHeight="1">
      <c r="A492" s="69"/>
      <c r="B492" s="53"/>
      <c r="C492" s="172" t="s">
        <v>230</v>
      </c>
      <c r="D492" s="45">
        <v>0</v>
      </c>
      <c r="E492" s="45">
        <v>0</v>
      </c>
      <c r="F492" s="175">
        <v>0</v>
      </c>
      <c r="G492" s="175">
        <v>0</v>
      </c>
      <c r="H492" s="175">
        <v>0</v>
      </c>
      <c r="I492" s="175">
        <v>0</v>
      </c>
      <c r="J492" s="175">
        <f>I492</f>
        <v>0</v>
      </c>
      <c r="K492" s="58"/>
    </row>
    <row r="493" spans="1:12" s="40" customFormat="1" ht="25.5">
      <c r="A493" s="69"/>
      <c r="B493" s="53"/>
      <c r="C493" s="172" t="s">
        <v>226</v>
      </c>
      <c r="D493" s="45">
        <v>16469.04</v>
      </c>
      <c r="E493" s="45">
        <f>'Wykonanie 8 2025'!I1149</f>
        <v>16469.04</v>
      </c>
      <c r="F493" s="175">
        <v>0</v>
      </c>
      <c r="G493" s="175">
        <v>0</v>
      </c>
      <c r="H493" s="175">
        <v>0</v>
      </c>
      <c r="I493" s="175">
        <v>16469</v>
      </c>
      <c r="J493" s="175">
        <v>20000</v>
      </c>
      <c r="K493" s="61"/>
    </row>
    <row r="494" spans="1:12" s="40" customFormat="1" ht="12.75">
      <c r="A494" s="176"/>
      <c r="B494" s="81"/>
      <c r="C494" s="132" t="s">
        <v>261</v>
      </c>
      <c r="D494" s="121">
        <v>2809889</v>
      </c>
      <c r="E494" s="122">
        <f t="shared" ref="E494:J494" si="155">E495+E496+E497+E498</f>
        <v>2809889</v>
      </c>
      <c r="F494" s="122">
        <f t="shared" si="155"/>
        <v>2986037</v>
      </c>
      <c r="G494" s="122">
        <f t="shared" si="155"/>
        <v>0</v>
      </c>
      <c r="H494" s="122">
        <f t="shared" si="155"/>
        <v>0</v>
      </c>
      <c r="I494" s="122">
        <f t="shared" si="155"/>
        <v>2996375</v>
      </c>
      <c r="J494" s="122">
        <f t="shared" si="155"/>
        <v>2951230</v>
      </c>
      <c r="K494" s="61"/>
    </row>
    <row r="495" spans="1:12" s="40" customFormat="1" ht="18" customHeight="1">
      <c r="A495" s="69"/>
      <c r="B495" s="53"/>
      <c r="C495" s="98" t="s">
        <v>230</v>
      </c>
      <c r="D495" s="45">
        <v>1184039</v>
      </c>
      <c r="E495" s="57">
        <f>'Wykonanie 8 2025'!I1133+'Wykonanie 8 2025'!I1135+'Wykonanie 8 2025'!I1136+'Wykonanie 8 2025'!I1139+'Wykonanie 8 2025'!I1140+'Wykonanie 8 2025'!I1150</f>
        <v>1184039</v>
      </c>
      <c r="F495" s="57">
        <f>2578040-F496</f>
        <v>1137520</v>
      </c>
      <c r="G495" s="94">
        <v>0</v>
      </c>
      <c r="H495" s="94">
        <v>0</v>
      </c>
      <c r="I495" s="57">
        <f>2676193-I496</f>
        <v>1221985</v>
      </c>
      <c r="J495" s="57">
        <v>1206884</v>
      </c>
      <c r="K495" s="61"/>
    </row>
    <row r="496" spans="1:12" s="40" customFormat="1" ht="12.75">
      <c r="A496" s="69"/>
      <c r="B496" s="53"/>
      <c r="C496" s="98" t="s">
        <v>262</v>
      </c>
      <c r="D496" s="45">
        <v>1316353</v>
      </c>
      <c r="E496" s="57">
        <f>'Wykonanie 8 2025'!I1152+'Wykonanie 8 2025'!I1153</f>
        <v>1316353</v>
      </c>
      <c r="F496" s="57">
        <f>1343102+97418</f>
        <v>1440520</v>
      </c>
      <c r="G496" s="94">
        <v>0</v>
      </c>
      <c r="H496" s="94">
        <v>0</v>
      </c>
      <c r="I496" s="57">
        <f>1340044+114164</f>
        <v>1454208</v>
      </c>
      <c r="J496" s="57">
        <v>1414164</v>
      </c>
      <c r="K496" s="61"/>
    </row>
    <row r="497" spans="1:11" s="40" customFormat="1" ht="12.75">
      <c r="A497" s="69"/>
      <c r="B497" s="53"/>
      <c r="C497" s="177" t="s">
        <v>263</v>
      </c>
      <c r="D497" s="45">
        <v>1500</v>
      </c>
      <c r="E497" s="123">
        <f>'Wykonanie 8 2025'!I1132</f>
        <v>1500</v>
      </c>
      <c r="F497" s="57">
        <v>1500</v>
      </c>
      <c r="G497" s="94">
        <v>0</v>
      </c>
      <c r="H497" s="94">
        <v>0</v>
      </c>
      <c r="I497" s="57">
        <v>1500</v>
      </c>
      <c r="J497" s="57">
        <v>1500</v>
      </c>
      <c r="K497" s="61"/>
    </row>
    <row r="498" spans="1:11" s="48" customFormat="1" ht="25.5">
      <c r="A498" s="69"/>
      <c r="B498" s="81"/>
      <c r="C498" s="98" t="s">
        <v>226</v>
      </c>
      <c r="D498" s="45">
        <v>307997</v>
      </c>
      <c r="E498" s="57">
        <f>'Wykonanie 8 2025'!I1141+'Wykonanie 8 2025'!I1142+'Wykonanie 8 2025'!I1144+'Wykonanie 8 2025'!I1145+'Wykonanie 8 2025'!I1146+'Wykonanie 8 2025'!I1147+'Wykonanie 8 2025'!I1148</f>
        <v>307997</v>
      </c>
      <c r="F498" s="57">
        <v>406497</v>
      </c>
      <c r="G498" s="94">
        <v>0</v>
      </c>
      <c r="H498" s="94">
        <v>0</v>
      </c>
      <c r="I498" s="57">
        <v>318682</v>
      </c>
      <c r="J498" s="57">
        <v>328682</v>
      </c>
      <c r="K498" s="58"/>
    </row>
    <row r="499" spans="1:11" s="48" customFormat="1" ht="12.75">
      <c r="A499" s="69"/>
      <c r="B499" s="37" t="s">
        <v>291</v>
      </c>
      <c r="C499" s="174" t="s">
        <v>292</v>
      </c>
      <c r="D499" s="39">
        <v>1605056</v>
      </c>
      <c r="E499" s="39">
        <f>E500+E504+E507+E512</f>
        <v>1641184.74</v>
      </c>
      <c r="F499" s="39">
        <f>F500+F504+F507</f>
        <v>1615158.41</v>
      </c>
      <c r="G499" s="39">
        <f>G500+G504+G507</f>
        <v>0</v>
      </c>
      <c r="H499" s="39">
        <f>H500</f>
        <v>0</v>
      </c>
      <c r="I499" s="39">
        <f>I500+I504+I507</f>
        <v>1863641</v>
      </c>
      <c r="J499" s="39">
        <f>J500+J504+J507</f>
        <v>1726816</v>
      </c>
      <c r="K499" s="58"/>
    </row>
    <row r="500" spans="1:11" s="48" customFormat="1" ht="12.75">
      <c r="A500" s="69"/>
      <c r="B500" s="62"/>
      <c r="C500" s="42" t="s">
        <v>259</v>
      </c>
      <c r="D500" s="43">
        <v>958894</v>
      </c>
      <c r="E500" s="43">
        <f>E501+E502+E503</f>
        <v>978723</v>
      </c>
      <c r="F500" s="43">
        <f>F501+F503</f>
        <v>996998</v>
      </c>
      <c r="G500" s="43">
        <f>G501+G503</f>
        <v>0</v>
      </c>
      <c r="H500" s="43">
        <f>H501+H503</f>
        <v>0</v>
      </c>
      <c r="I500" s="43">
        <f>I501+I502+I503</f>
        <v>1067780</v>
      </c>
      <c r="J500" s="43">
        <f>J501+J502+J503</f>
        <v>1067772</v>
      </c>
      <c r="K500" s="58"/>
    </row>
    <row r="501" spans="1:11" s="48" customFormat="1" ht="12.75">
      <c r="A501" s="69"/>
      <c r="B501" s="53"/>
      <c r="C501" s="172" t="s">
        <v>268</v>
      </c>
      <c r="D501" s="118">
        <v>952808</v>
      </c>
      <c r="E501" s="118">
        <f>'Wykonanie 8 2025'!I1156+'Wykonanie 8 2025'!I1159+'Wykonanie 8 2025'!I1158</f>
        <v>977808</v>
      </c>
      <c r="F501" s="175">
        <f>498837+50695+447466</f>
        <v>996998</v>
      </c>
      <c r="G501" s="175">
        <v>0</v>
      </c>
      <c r="H501" s="175">
        <v>0</v>
      </c>
      <c r="I501" s="175">
        <f>533756+54244+478789</f>
        <v>1066789</v>
      </c>
      <c r="J501" s="175">
        <v>1066789</v>
      </c>
      <c r="K501" s="58"/>
    </row>
    <row r="502" spans="1:11" s="48" customFormat="1" ht="12.75">
      <c r="A502" s="69"/>
      <c r="B502" s="53"/>
      <c r="C502" s="98" t="s">
        <v>262</v>
      </c>
      <c r="D502" s="118">
        <v>5090</v>
      </c>
      <c r="E502" s="118">
        <f>'Wykonanie 8 2025'!I1178</f>
        <v>765</v>
      </c>
      <c r="F502" s="175">
        <v>0</v>
      </c>
      <c r="G502" s="175">
        <v>0</v>
      </c>
      <c r="H502" s="175">
        <v>0</v>
      </c>
      <c r="I502" s="175">
        <v>828</v>
      </c>
      <c r="J502" s="175">
        <v>820</v>
      </c>
      <c r="K502" s="58"/>
    </row>
    <row r="503" spans="1:11" s="48" customFormat="1" ht="10.5" customHeight="1">
      <c r="A503" s="69"/>
      <c r="B503" s="53"/>
      <c r="C503" s="172" t="s">
        <v>230</v>
      </c>
      <c r="D503" s="118">
        <v>996</v>
      </c>
      <c r="E503" s="118">
        <f>'Wykonanie 8 2025'!I1163+'Wykonanie 8 2025'!I1165</f>
        <v>150</v>
      </c>
      <c r="F503" s="175">
        <v>0</v>
      </c>
      <c r="G503" s="175">
        <v>0</v>
      </c>
      <c r="H503" s="175">
        <v>0</v>
      </c>
      <c r="I503" s="175">
        <f>142+21</f>
        <v>163</v>
      </c>
      <c r="J503" s="175">
        <v>163</v>
      </c>
      <c r="K503" s="58"/>
    </row>
    <row r="504" spans="1:11" s="48" customFormat="1" ht="12.75">
      <c r="A504" s="69"/>
      <c r="B504" s="53"/>
      <c r="C504" s="139" t="s">
        <v>231</v>
      </c>
      <c r="D504" s="43">
        <v>0</v>
      </c>
      <c r="E504" s="43">
        <f>E505+E506</f>
        <v>0</v>
      </c>
      <c r="F504" s="43">
        <f t="shared" ref="F504:J504" si="156">F505+F506</f>
        <v>0</v>
      </c>
      <c r="G504" s="43">
        <f t="shared" si="156"/>
        <v>0</v>
      </c>
      <c r="H504" s="43">
        <f t="shared" si="156"/>
        <v>0</v>
      </c>
      <c r="I504" s="43">
        <f t="shared" si="156"/>
        <v>0</v>
      </c>
      <c r="J504" s="43">
        <f t="shared" si="156"/>
        <v>0</v>
      </c>
      <c r="K504" s="58"/>
    </row>
    <row r="505" spans="1:11" s="48" customFormat="1" ht="12.75" customHeight="1">
      <c r="A505" s="69"/>
      <c r="B505" s="53"/>
      <c r="C505" s="172" t="s">
        <v>230</v>
      </c>
      <c r="D505" s="45">
        <v>0</v>
      </c>
      <c r="E505" s="45">
        <v>0</v>
      </c>
      <c r="F505" s="175">
        <v>0</v>
      </c>
      <c r="G505" s="175">
        <v>0</v>
      </c>
      <c r="H505" s="175">
        <v>0</v>
      </c>
      <c r="I505" s="175">
        <v>0</v>
      </c>
      <c r="J505" s="175">
        <v>0</v>
      </c>
      <c r="K505" s="58"/>
    </row>
    <row r="506" spans="1:11" s="48" customFormat="1" ht="25.5">
      <c r="A506" s="69"/>
      <c r="B506" s="53"/>
      <c r="C506" s="172" t="s">
        <v>226</v>
      </c>
      <c r="D506" s="45">
        <v>0</v>
      </c>
      <c r="E506" s="45">
        <v>0</v>
      </c>
      <c r="F506" s="175">
        <v>0</v>
      </c>
      <c r="G506" s="175">
        <v>0</v>
      </c>
      <c r="H506" s="175">
        <v>0</v>
      </c>
      <c r="I506" s="175">
        <v>0</v>
      </c>
      <c r="J506" s="175">
        <v>0</v>
      </c>
      <c r="K506" s="58"/>
    </row>
    <row r="507" spans="1:11" s="48" customFormat="1" ht="12.75">
      <c r="A507" s="69"/>
      <c r="B507" s="81"/>
      <c r="C507" s="132" t="s">
        <v>186</v>
      </c>
      <c r="D507" s="121">
        <v>646162</v>
      </c>
      <c r="E507" s="122">
        <f t="shared" ref="E507:J507" si="157">E508+E509+E510+E511</f>
        <v>650295</v>
      </c>
      <c r="F507" s="122">
        <f t="shared" si="157"/>
        <v>618160.40999999992</v>
      </c>
      <c r="G507" s="122">
        <f t="shared" si="157"/>
        <v>0</v>
      </c>
      <c r="H507" s="122">
        <f t="shared" si="157"/>
        <v>0</v>
      </c>
      <c r="I507" s="122">
        <f t="shared" si="157"/>
        <v>795861</v>
      </c>
      <c r="J507" s="122">
        <f t="shared" si="157"/>
        <v>659044</v>
      </c>
      <c r="K507" s="58"/>
    </row>
    <row r="508" spans="1:11" s="48" customFormat="1" ht="14.25" customHeight="1">
      <c r="A508" s="69"/>
      <c r="B508" s="53"/>
      <c r="C508" s="98" t="s">
        <v>230</v>
      </c>
      <c r="D508" s="118">
        <v>120717</v>
      </c>
      <c r="E508" s="57">
        <f>'Wykonanie 8 2025'!I1161+'Wykonanie 8 2025'!I1162+'Wykonanie 8 2025'!I1164+'Wykonanie 8 2025'!I1166+'Wykonanie 8 2025'!I1167</f>
        <v>121563</v>
      </c>
      <c r="F508" s="94">
        <v>113214.36</v>
      </c>
      <c r="G508" s="94">
        <v>0</v>
      </c>
      <c r="H508" s="95">
        <v>0</v>
      </c>
      <c r="I508" s="94">
        <v>94673</v>
      </c>
      <c r="J508" s="94">
        <v>94673</v>
      </c>
      <c r="K508" s="58"/>
    </row>
    <row r="509" spans="1:11" s="48" customFormat="1" ht="12.75">
      <c r="A509" s="69"/>
      <c r="B509" s="53"/>
      <c r="C509" s="98" t="s">
        <v>262</v>
      </c>
      <c r="D509" s="118">
        <v>412771</v>
      </c>
      <c r="E509" s="57">
        <f>'Wykonanie 8 2025'!I1177+'Wykonanie 8 2025'!I1179</f>
        <v>417096</v>
      </c>
      <c r="F509" s="94">
        <v>393310.05</v>
      </c>
      <c r="G509" s="94">
        <v>0</v>
      </c>
      <c r="H509" s="95">
        <v>0</v>
      </c>
      <c r="I509" s="94">
        <v>436461</v>
      </c>
      <c r="J509" s="94">
        <v>436461</v>
      </c>
      <c r="K509" s="58"/>
    </row>
    <row r="510" spans="1:11" s="48" customFormat="1" ht="12.75">
      <c r="A510" s="69"/>
      <c r="B510" s="53"/>
      <c r="C510" s="177" t="s">
        <v>263</v>
      </c>
      <c r="D510" s="118">
        <v>1159</v>
      </c>
      <c r="E510" s="57">
        <f>'Wykonanie 8 2025'!I1160</f>
        <v>1159</v>
      </c>
      <c r="F510" s="94">
        <v>1159</v>
      </c>
      <c r="G510" s="94">
        <v>0</v>
      </c>
      <c r="H510" s="95">
        <v>0</v>
      </c>
      <c r="I510" s="94">
        <v>1219</v>
      </c>
      <c r="J510" s="94">
        <v>1219</v>
      </c>
      <c r="K510" s="58"/>
    </row>
    <row r="511" spans="1:11" s="48" customFormat="1" ht="25.5">
      <c r="A511" s="69"/>
      <c r="B511" s="81"/>
      <c r="C511" s="98" t="s">
        <v>226</v>
      </c>
      <c r="D511" s="118">
        <v>111515</v>
      </c>
      <c r="E511" s="57">
        <f>'Wykonanie 8 2025'!I1168+'Wykonanie 8 2025'!I1169+'Wykonanie 8 2025'!I1170+'Wykonanie 8 2025'!I1171+'Wykonanie 8 2025'!I1172+'Wykonanie 8 2025'!I1173+'Wykonanie 8 2025'!I1174+'Wykonanie 8 2025'!I1175+'Wykonanie 8 2025'!I1176</f>
        <v>110477</v>
      </c>
      <c r="F511" s="94">
        <v>110477</v>
      </c>
      <c r="G511" s="94">
        <v>0</v>
      </c>
      <c r="H511" s="95">
        <v>0</v>
      </c>
      <c r="I511" s="94">
        <v>263508</v>
      </c>
      <c r="J511" s="94">
        <v>126691</v>
      </c>
      <c r="K511" s="58"/>
    </row>
    <row r="512" spans="1:11" s="40" customFormat="1" ht="12.75">
      <c r="A512" s="69"/>
      <c r="B512" s="81"/>
      <c r="C512" s="139" t="s">
        <v>265</v>
      </c>
      <c r="D512" s="43">
        <f>D513</f>
        <v>0</v>
      </c>
      <c r="E512" s="43">
        <f t="shared" ref="E512:J512" si="158">E513</f>
        <v>12166.74</v>
      </c>
      <c r="F512" s="43">
        <f t="shared" si="158"/>
        <v>0</v>
      </c>
      <c r="G512" s="43">
        <f t="shared" si="158"/>
        <v>0</v>
      </c>
      <c r="H512" s="43">
        <f t="shared" si="158"/>
        <v>0</v>
      </c>
      <c r="I512" s="43">
        <f t="shared" si="158"/>
        <v>0</v>
      </c>
      <c r="J512" s="43">
        <f t="shared" si="158"/>
        <v>0</v>
      </c>
      <c r="K512" s="61"/>
    </row>
    <row r="513" spans="1:12" s="48" customFormat="1" ht="12.75">
      <c r="A513" s="69"/>
      <c r="B513" s="81"/>
      <c r="C513" s="98" t="s">
        <v>268</v>
      </c>
      <c r="D513" s="119">
        <v>0</v>
      </c>
      <c r="E513" s="57">
        <f>'Wykonanie 8 2025'!I1157</f>
        <v>12166.74</v>
      </c>
      <c r="F513" s="99"/>
      <c r="G513" s="99"/>
      <c r="H513" s="395"/>
      <c r="I513" s="99"/>
      <c r="J513" s="99"/>
      <c r="K513" s="58"/>
    </row>
    <row r="514" spans="1:12" s="48" customFormat="1" ht="25.5">
      <c r="A514" s="100"/>
      <c r="B514" s="37">
        <v>85406</v>
      </c>
      <c r="C514" s="174" t="s">
        <v>185</v>
      </c>
      <c r="D514" s="39">
        <v>3571581</v>
      </c>
      <c r="E514" s="39">
        <f>E515+E518+E520+E523+E528+E533</f>
        <v>3595340.04</v>
      </c>
      <c r="F514" s="39">
        <f t="shared" ref="F514:J514" si="159">F515+F518+F520+F523+F528+F533</f>
        <v>3540165.7199999997</v>
      </c>
      <c r="G514" s="39">
        <f t="shared" si="159"/>
        <v>19753</v>
      </c>
      <c r="H514" s="39">
        <f t="shared" si="159"/>
        <v>0</v>
      </c>
      <c r="I514" s="39">
        <f t="shared" si="159"/>
        <v>4479663</v>
      </c>
      <c r="J514" s="39">
        <f t="shared" si="159"/>
        <v>4470445</v>
      </c>
      <c r="K514" s="58"/>
    </row>
    <row r="515" spans="1:12" s="48" customFormat="1">
      <c r="A515" s="68"/>
      <c r="B515" s="633"/>
      <c r="C515" s="42" t="s">
        <v>259</v>
      </c>
      <c r="D515" s="43">
        <v>91248</v>
      </c>
      <c r="E515" s="43">
        <f>E516+E517</f>
        <v>64173.2</v>
      </c>
      <c r="F515" s="43">
        <f>F517</f>
        <v>0</v>
      </c>
      <c r="G515" s="43">
        <f>G517</f>
        <v>0</v>
      </c>
      <c r="H515" s="43">
        <f>H517</f>
        <v>0</v>
      </c>
      <c r="I515" s="43">
        <f>I516+I517</f>
        <v>319045</v>
      </c>
      <c r="J515" s="43">
        <f>J516+J517</f>
        <v>819045</v>
      </c>
      <c r="K515" s="58"/>
    </row>
    <row r="516" spans="1:12" s="48" customFormat="1">
      <c r="A516" s="68"/>
      <c r="B516" s="632"/>
      <c r="C516" s="98" t="s">
        <v>262</v>
      </c>
      <c r="D516" s="118">
        <v>8741</v>
      </c>
      <c r="E516" s="57">
        <f>'Wykonanie 8 2025'!I1217</f>
        <v>3775</v>
      </c>
      <c r="F516" s="94">
        <v>0</v>
      </c>
      <c r="G516" s="94">
        <v>0</v>
      </c>
      <c r="H516" s="95">
        <v>0</v>
      </c>
      <c r="I516" s="94">
        <v>245526</v>
      </c>
      <c r="J516" s="94">
        <v>745526</v>
      </c>
      <c r="K516" s="58"/>
    </row>
    <row r="517" spans="1:12" s="48" customFormat="1" ht="10.5" customHeight="1">
      <c r="A517" s="68"/>
      <c r="B517" s="632"/>
      <c r="C517" s="172" t="s">
        <v>230</v>
      </c>
      <c r="D517" s="118">
        <v>82507</v>
      </c>
      <c r="E517" s="118">
        <f>'Wykonanie 8 2025'!I1184+'Wykonanie 8 2025'!I1190+'Wykonanie 8 2025'!I1193</f>
        <v>60398.2</v>
      </c>
      <c r="F517" s="175">
        <v>0</v>
      </c>
      <c r="G517" s="175">
        <v>0</v>
      </c>
      <c r="H517" s="175">
        <v>0</v>
      </c>
      <c r="I517" s="175">
        <f>60590+11309+1620</f>
        <v>73519</v>
      </c>
      <c r="J517" s="175">
        <v>73519</v>
      </c>
      <c r="K517" s="58"/>
    </row>
    <row r="518" spans="1:12" s="48" customFormat="1">
      <c r="A518" s="68"/>
      <c r="B518" s="632"/>
      <c r="C518" s="42" t="s">
        <v>234</v>
      </c>
      <c r="D518" s="43">
        <v>0</v>
      </c>
      <c r="E518" s="43">
        <f t="shared" ref="E518:J518" si="160">E519</f>
        <v>0</v>
      </c>
      <c r="F518" s="43">
        <f t="shared" si="160"/>
        <v>0</v>
      </c>
      <c r="G518" s="43">
        <f t="shared" si="160"/>
        <v>0</v>
      </c>
      <c r="H518" s="43">
        <f t="shared" si="160"/>
        <v>0</v>
      </c>
      <c r="I518" s="43">
        <f t="shared" si="160"/>
        <v>0</v>
      </c>
      <c r="J518" s="43">
        <f t="shared" si="160"/>
        <v>0</v>
      </c>
      <c r="K518" s="58"/>
    </row>
    <row r="519" spans="1:12" s="48" customFormat="1" ht="25.5">
      <c r="A519" s="68"/>
      <c r="B519" s="632"/>
      <c r="C519" s="44" t="s">
        <v>226</v>
      </c>
      <c r="D519" s="45">
        <v>0</v>
      </c>
      <c r="E519" s="45">
        <v>0</v>
      </c>
      <c r="F519" s="46"/>
      <c r="G519" s="46"/>
      <c r="H519" s="46"/>
      <c r="I519" s="46"/>
      <c r="J519" s="46">
        <v>0</v>
      </c>
      <c r="K519" s="58"/>
    </row>
    <row r="520" spans="1:12" s="48" customFormat="1">
      <c r="A520" s="163"/>
      <c r="B520" s="632"/>
      <c r="C520" s="139" t="s">
        <v>231</v>
      </c>
      <c r="D520" s="43">
        <v>128912</v>
      </c>
      <c r="E520" s="43">
        <f t="shared" ref="E520:J520" si="161">E521+E522</f>
        <v>128912</v>
      </c>
      <c r="F520" s="43">
        <f t="shared" si="161"/>
        <v>0</v>
      </c>
      <c r="G520" s="43">
        <f t="shared" si="161"/>
        <v>0</v>
      </c>
      <c r="H520" s="43">
        <f t="shared" si="161"/>
        <v>0</v>
      </c>
      <c r="I520" s="43">
        <f t="shared" si="161"/>
        <v>128912</v>
      </c>
      <c r="J520" s="43">
        <f t="shared" si="161"/>
        <v>1000</v>
      </c>
      <c r="K520" s="58"/>
    </row>
    <row r="521" spans="1:12" s="48" customFormat="1" ht="14.25" customHeight="1">
      <c r="A521" s="69"/>
      <c r="B521" s="632"/>
      <c r="C521" s="172" t="s">
        <v>230</v>
      </c>
      <c r="D521" s="45">
        <v>128012</v>
      </c>
      <c r="E521" s="175">
        <f>'Wykonanie 8 2025'!I1185</f>
        <v>128012</v>
      </c>
      <c r="F521" s="175">
        <v>0</v>
      </c>
      <c r="G521" s="175">
        <v>0</v>
      </c>
      <c r="H521" s="175">
        <v>0</v>
      </c>
      <c r="I521" s="175">
        <v>128012</v>
      </c>
      <c r="J521" s="175">
        <v>0</v>
      </c>
      <c r="K521" s="58"/>
    </row>
    <row r="522" spans="1:12" s="48" customFormat="1" ht="25.5">
      <c r="A522" s="69"/>
      <c r="B522" s="632"/>
      <c r="C522" s="172" t="s">
        <v>226</v>
      </c>
      <c r="D522" s="45">
        <v>900</v>
      </c>
      <c r="E522" s="175">
        <f>'Wykonanie 8 2025'!I1199+'Wykonanie 8 2025'!I1211</f>
        <v>900</v>
      </c>
      <c r="F522" s="175">
        <v>0</v>
      </c>
      <c r="G522" s="175">
        <v>0</v>
      </c>
      <c r="H522" s="175">
        <v>0</v>
      </c>
      <c r="I522" s="175">
        <v>900</v>
      </c>
      <c r="J522" s="175">
        <v>1000</v>
      </c>
      <c r="K522" s="58"/>
    </row>
    <row r="523" spans="1:12" s="48" customFormat="1" ht="12.75">
      <c r="A523" s="69"/>
      <c r="B523" s="632"/>
      <c r="C523" s="132" t="s">
        <v>187</v>
      </c>
      <c r="D523" s="121">
        <v>1509726</v>
      </c>
      <c r="E523" s="121">
        <f t="shared" ref="E523:I523" si="162">E524+E525+E526+E527</f>
        <v>1513855.8</v>
      </c>
      <c r="F523" s="121">
        <f t="shared" si="162"/>
        <v>1650421.9</v>
      </c>
      <c r="G523" s="121">
        <f t="shared" si="162"/>
        <v>0</v>
      </c>
      <c r="H523" s="121">
        <f t="shared" si="162"/>
        <v>0</v>
      </c>
      <c r="I523" s="121">
        <f t="shared" si="162"/>
        <v>1760155</v>
      </c>
      <c r="J523" s="121">
        <f>J524+J525+J526+J527</f>
        <v>1657500</v>
      </c>
      <c r="K523" s="58"/>
    </row>
    <row r="524" spans="1:12" s="48" customFormat="1" ht="15.75" customHeight="1">
      <c r="A524" s="69"/>
      <c r="B524" s="632"/>
      <c r="C524" s="98" t="s">
        <v>230</v>
      </c>
      <c r="D524" s="45">
        <v>480490</v>
      </c>
      <c r="E524" s="57">
        <f>'Wykonanie 8 2025'!I1183+'Wykonanie 8 2025'!I1187+'Wykonanie 8 2025'!I1189+'Wykonanie 8 2025'!I1192</f>
        <v>481889.8</v>
      </c>
      <c r="F524" s="57">
        <f>256644+19479+220950+21500</f>
        <v>518573</v>
      </c>
      <c r="G524" s="57">
        <v>0</v>
      </c>
      <c r="H524" s="47">
        <v>0</v>
      </c>
      <c r="I524" s="57">
        <f>259748+21516+226854+24293</f>
        <v>532411</v>
      </c>
      <c r="J524" s="57">
        <v>500000</v>
      </c>
      <c r="K524" s="58"/>
    </row>
    <row r="525" spans="1:12" s="48" customFormat="1" ht="12.75">
      <c r="A525" s="69"/>
      <c r="B525" s="632"/>
      <c r="C525" s="98" t="s">
        <v>262</v>
      </c>
      <c r="D525" s="45">
        <v>877911</v>
      </c>
      <c r="E525" s="57">
        <f>'Wykonanie 8 2025'!I1216+'Wykonanie 8 2025'!I1219</f>
        <v>877911</v>
      </c>
      <c r="F525" s="57">
        <f>900100+62991.9</f>
        <v>963091.9</v>
      </c>
      <c r="G525" s="57">
        <v>0</v>
      </c>
      <c r="H525" s="47">
        <v>0</v>
      </c>
      <c r="I525" s="57">
        <f>967447+72850</f>
        <v>1040297</v>
      </c>
      <c r="J525" s="57">
        <v>992000</v>
      </c>
      <c r="K525" s="58"/>
      <c r="L525" s="58"/>
    </row>
    <row r="526" spans="1:12" s="48" customFormat="1" ht="12.75">
      <c r="A526" s="69"/>
      <c r="B526" s="632"/>
      <c r="C526" s="177" t="s">
        <v>263</v>
      </c>
      <c r="D526" s="45">
        <v>500</v>
      </c>
      <c r="E526" s="57">
        <f>'Wykonanie 8 2025'!I1181</f>
        <v>500</v>
      </c>
      <c r="F526" s="57">
        <v>500</v>
      </c>
      <c r="G526" s="57">
        <v>0</v>
      </c>
      <c r="H526" s="47">
        <v>0</v>
      </c>
      <c r="I526" s="57">
        <v>500</v>
      </c>
      <c r="J526" s="57">
        <v>500</v>
      </c>
      <c r="K526" s="58"/>
    </row>
    <row r="527" spans="1:12" s="40" customFormat="1" ht="25.5">
      <c r="A527" s="69"/>
      <c r="B527" s="632"/>
      <c r="C527" s="98" t="s">
        <v>226</v>
      </c>
      <c r="D527" s="45">
        <v>150825</v>
      </c>
      <c r="E527" s="57">
        <f>'Wykonanie 8 2025'!I1196+'Wykonanie 8 2025'!I1198+'Wykonanie 8 2025'!I1201+'Wykonanie 8 2025'!I1204+'Wykonanie 8 2025'!I1206+'Wykonanie 8 2025'!I1208+'Wykonanie 8 2025'!I1210+'Wykonanie 8 2025'!I1213</f>
        <v>153555</v>
      </c>
      <c r="F527" s="57">
        <f>1650421.9-F524-F525-F526</f>
        <v>168256.99999999988</v>
      </c>
      <c r="G527" s="57">
        <v>0</v>
      </c>
      <c r="H527" s="47">
        <v>0</v>
      </c>
      <c r="I527" s="57">
        <f>1760155-I524-I525-I526</f>
        <v>186947</v>
      </c>
      <c r="J527" s="57">
        <v>165000</v>
      </c>
      <c r="K527" s="61"/>
    </row>
    <row r="528" spans="1:12" s="40" customFormat="1" ht="12.75">
      <c r="A528" s="69"/>
      <c r="B528" s="632"/>
      <c r="C528" s="132" t="s">
        <v>186</v>
      </c>
      <c r="D528" s="121">
        <v>1841695</v>
      </c>
      <c r="E528" s="122">
        <f t="shared" ref="E528:J528" si="163">E529+E530+E531+E532</f>
        <v>1868102</v>
      </c>
      <c r="F528" s="122">
        <f t="shared" si="163"/>
        <v>1889743.8199999998</v>
      </c>
      <c r="G528" s="122">
        <f t="shared" si="163"/>
        <v>19753</v>
      </c>
      <c r="H528" s="122">
        <f t="shared" si="163"/>
        <v>0</v>
      </c>
      <c r="I528" s="122">
        <f t="shared" si="163"/>
        <v>2271551</v>
      </c>
      <c r="J528" s="122">
        <f t="shared" si="163"/>
        <v>1992900</v>
      </c>
      <c r="K528" s="61"/>
    </row>
    <row r="529" spans="1:11" s="48" customFormat="1" ht="15" customHeight="1">
      <c r="A529" s="69"/>
      <c r="B529" s="632"/>
      <c r="C529" s="98" t="s">
        <v>230</v>
      </c>
      <c r="D529" s="45">
        <v>589962</v>
      </c>
      <c r="E529" s="57">
        <f>'Wykonanie 8 2025'!I1182+'Wykonanie 8 2025'!I1186+'Wykonanie 8 2025'!I1188+'Wykonanie 8 2025'!I1191+'Wykonanie 8 2025'!I1194</f>
        <v>610671</v>
      </c>
      <c r="F529" s="57">
        <v>599330.81999999995</v>
      </c>
      <c r="G529" s="57">
        <v>19753</v>
      </c>
      <c r="H529" s="47">
        <v>0</v>
      </c>
      <c r="I529" s="57">
        <v>767045</v>
      </c>
      <c r="J529" s="57">
        <v>650000</v>
      </c>
      <c r="K529" s="58"/>
    </row>
    <row r="530" spans="1:11" s="48" customFormat="1" ht="12.75">
      <c r="A530" s="69"/>
      <c r="B530" s="632"/>
      <c r="C530" s="98" t="s">
        <v>262</v>
      </c>
      <c r="D530" s="45">
        <v>1095242</v>
      </c>
      <c r="E530" s="57">
        <f>'Wykonanie 8 2025'!I1215+'Wykonanie 8 2025'!I1218</f>
        <v>1100208</v>
      </c>
      <c r="F530" s="57">
        <v>1133190</v>
      </c>
      <c r="G530" s="57">
        <v>0</v>
      </c>
      <c r="H530" s="47">
        <v>0</v>
      </c>
      <c r="I530" s="57">
        <v>1291606</v>
      </c>
      <c r="J530" s="57">
        <v>1167200</v>
      </c>
      <c r="K530" s="58"/>
    </row>
    <row r="531" spans="1:11" s="48" customFormat="1" ht="12.75">
      <c r="A531" s="69"/>
      <c r="B531" s="632"/>
      <c r="C531" s="177" t="s">
        <v>263</v>
      </c>
      <c r="D531" s="45">
        <v>500</v>
      </c>
      <c r="E531" s="57">
        <f>'Wykonanie 8 2025'!I1180</f>
        <v>500</v>
      </c>
      <c r="F531" s="57">
        <v>500</v>
      </c>
      <c r="G531" s="57">
        <v>0</v>
      </c>
      <c r="H531" s="47">
        <v>0</v>
      </c>
      <c r="I531" s="57">
        <v>3609</v>
      </c>
      <c r="J531" s="57">
        <v>500</v>
      </c>
      <c r="K531" s="58"/>
    </row>
    <row r="532" spans="1:11" s="40" customFormat="1" ht="25.5">
      <c r="A532" s="647"/>
      <c r="B532" s="632"/>
      <c r="C532" s="98" t="s">
        <v>226</v>
      </c>
      <c r="D532" s="45">
        <v>155991</v>
      </c>
      <c r="E532" s="57">
        <f>'Wykonanie 8 2025'!I1195+'Wykonanie 8 2025'!I1197+'Wykonanie 8 2025'!I1200+'Wykonanie 8 2025'!I1202+'Wykonanie 8 2025'!I1203+'Wykonanie 8 2025'!I1205+'Wykonanie 8 2025'!I1207+'Wykonanie 8 2025'!I1209+'Wykonanie 8 2025'!I1212</f>
        <v>156723</v>
      </c>
      <c r="F532" s="57">
        <v>156723</v>
      </c>
      <c r="G532" s="57">
        <v>0</v>
      </c>
      <c r="H532" s="47">
        <v>0</v>
      </c>
      <c r="I532" s="57">
        <v>209291</v>
      </c>
      <c r="J532" s="57">
        <v>175200</v>
      </c>
      <c r="K532" s="61"/>
    </row>
    <row r="533" spans="1:11" s="40" customFormat="1" ht="12.75">
      <c r="A533" s="647"/>
      <c r="B533" s="632"/>
      <c r="C533" s="139" t="s">
        <v>265</v>
      </c>
      <c r="D533" s="43">
        <v>0</v>
      </c>
      <c r="E533" s="43">
        <f t="shared" ref="E533:J533" si="164">E534+E535+E536+E537</f>
        <v>20297.04</v>
      </c>
      <c r="F533" s="43">
        <f t="shared" si="164"/>
        <v>0</v>
      </c>
      <c r="G533" s="43">
        <f t="shared" si="164"/>
        <v>0</v>
      </c>
      <c r="H533" s="43">
        <f t="shared" si="164"/>
        <v>0</v>
      </c>
      <c r="I533" s="43">
        <f t="shared" si="164"/>
        <v>0</v>
      </c>
      <c r="J533" s="43">
        <f t="shared" si="164"/>
        <v>0</v>
      </c>
      <c r="K533" s="61"/>
    </row>
    <row r="534" spans="1:11" s="48" customFormat="1" ht="25.5">
      <c r="A534" s="647"/>
      <c r="B534" s="632"/>
      <c r="C534" s="98" t="s">
        <v>230</v>
      </c>
      <c r="D534" s="45">
        <v>0</v>
      </c>
      <c r="E534" s="57">
        <f>'Wykonanie 8 2025'!I1214+'Wykonanie 8 2025'!I1220</f>
        <v>20297.04</v>
      </c>
      <c r="F534" s="57">
        <v>0</v>
      </c>
      <c r="G534" s="57">
        <v>0</v>
      </c>
      <c r="H534" s="47">
        <v>0</v>
      </c>
      <c r="I534" s="57">
        <v>0</v>
      </c>
      <c r="J534" s="57">
        <v>0</v>
      </c>
      <c r="K534" s="58"/>
    </row>
    <row r="535" spans="1:11" s="48" customFormat="1" ht="12.75">
      <c r="A535" s="647"/>
      <c r="B535" s="632"/>
      <c r="C535" s="98" t="s">
        <v>262</v>
      </c>
      <c r="D535" s="45">
        <v>0</v>
      </c>
      <c r="E535" s="57">
        <v>0</v>
      </c>
      <c r="F535" s="57">
        <v>0</v>
      </c>
      <c r="G535" s="57">
        <v>0</v>
      </c>
      <c r="H535" s="47">
        <v>0</v>
      </c>
      <c r="I535" s="57">
        <v>0</v>
      </c>
      <c r="J535" s="57">
        <v>0</v>
      </c>
      <c r="K535" s="58"/>
    </row>
    <row r="536" spans="1:11" s="48" customFormat="1" ht="12.75">
      <c r="A536" s="647"/>
      <c r="B536" s="632"/>
      <c r="C536" s="177" t="s">
        <v>263</v>
      </c>
      <c r="D536" s="45">
        <v>0</v>
      </c>
      <c r="E536" s="57">
        <v>0</v>
      </c>
      <c r="F536" s="57">
        <v>0</v>
      </c>
      <c r="G536" s="57">
        <v>0</v>
      </c>
      <c r="H536" s="57">
        <v>0</v>
      </c>
      <c r="I536" s="57">
        <v>0</v>
      </c>
      <c r="J536" s="57">
        <v>0</v>
      </c>
      <c r="K536" s="58"/>
    </row>
    <row r="537" spans="1:11" s="40" customFormat="1" ht="25.5">
      <c r="A537" s="647"/>
      <c r="B537" s="636"/>
      <c r="C537" s="98" t="s">
        <v>226</v>
      </c>
      <c r="D537" s="45">
        <v>0</v>
      </c>
      <c r="E537" s="57">
        <v>0</v>
      </c>
      <c r="F537" s="57">
        <v>0</v>
      </c>
      <c r="G537" s="57">
        <v>0</v>
      </c>
      <c r="H537" s="57">
        <v>0</v>
      </c>
      <c r="I537" s="57">
        <v>0</v>
      </c>
      <c r="J537" s="57">
        <v>0</v>
      </c>
      <c r="K537" s="61"/>
    </row>
    <row r="538" spans="1:11" s="48" customFormat="1" ht="12.75">
      <c r="A538" s="647"/>
      <c r="B538" s="37">
        <v>85410</v>
      </c>
      <c r="C538" s="174" t="s">
        <v>189</v>
      </c>
      <c r="D538" s="39">
        <v>1144935.25</v>
      </c>
      <c r="E538" s="39">
        <f t="shared" ref="E538:J538" si="165">E539+E543+E546</f>
        <v>1129235.25</v>
      </c>
      <c r="F538" s="39">
        <f t="shared" si="165"/>
        <v>1132791</v>
      </c>
      <c r="G538" s="39">
        <f t="shared" si="165"/>
        <v>0</v>
      </c>
      <c r="H538" s="39">
        <f t="shared" si="165"/>
        <v>0</v>
      </c>
      <c r="I538" s="39">
        <f t="shared" si="165"/>
        <v>1382646</v>
      </c>
      <c r="J538" s="39">
        <f t="shared" si="165"/>
        <v>1271389</v>
      </c>
      <c r="K538" s="58"/>
    </row>
    <row r="539" spans="1:11" s="48" customFormat="1" ht="12.75">
      <c r="A539" s="647"/>
      <c r="B539" s="633"/>
      <c r="C539" s="42" t="s">
        <v>259</v>
      </c>
      <c r="D539" s="43">
        <v>7566</v>
      </c>
      <c r="E539" s="43">
        <f>E540+E541+E542</f>
        <v>1926</v>
      </c>
      <c r="F539" s="43">
        <f>F541+F542</f>
        <v>0</v>
      </c>
      <c r="G539" s="43">
        <f>G541+G542</f>
        <v>0</v>
      </c>
      <c r="H539" s="43">
        <f>H541+H542</f>
        <v>0</v>
      </c>
      <c r="I539" s="43">
        <f>I540+I541+I542</f>
        <v>5444</v>
      </c>
      <c r="J539" s="43">
        <f>J540+J541</f>
        <v>5444</v>
      </c>
      <c r="K539" s="58"/>
    </row>
    <row r="540" spans="1:11" s="48" customFormat="1" ht="12.75">
      <c r="A540" s="647"/>
      <c r="B540" s="632"/>
      <c r="C540" s="98" t="s">
        <v>262</v>
      </c>
      <c r="D540" s="45">
        <v>7425</v>
      </c>
      <c r="E540" s="57">
        <f>'Wykonanie 8 2025'!I1243</f>
        <v>1785</v>
      </c>
      <c r="F540" s="45">
        <v>0</v>
      </c>
      <c r="G540" s="45">
        <v>0</v>
      </c>
      <c r="H540" s="45">
        <v>0</v>
      </c>
      <c r="I540" s="57">
        <v>754</v>
      </c>
      <c r="J540" s="57">
        <v>754</v>
      </c>
      <c r="K540" s="58"/>
    </row>
    <row r="541" spans="1:11" s="48" customFormat="1" ht="15" customHeight="1">
      <c r="A541" s="647"/>
      <c r="B541" s="632"/>
      <c r="C541" s="172" t="s">
        <v>230</v>
      </c>
      <c r="D541" s="45">
        <v>141</v>
      </c>
      <c r="E541" s="118">
        <f>'Wykonanie 8 2025'!I1224+'Wykonanie 8 2025'!I1227</f>
        <v>141</v>
      </c>
      <c r="F541" s="45">
        <v>0</v>
      </c>
      <c r="G541" s="45">
        <v>0</v>
      </c>
      <c r="H541" s="45">
        <v>0</v>
      </c>
      <c r="I541" s="175">
        <f>4542+130+18</f>
        <v>4690</v>
      </c>
      <c r="J541" s="175">
        <v>4690</v>
      </c>
      <c r="K541" s="58"/>
    </row>
    <row r="542" spans="1:11" s="48" customFormat="1" ht="25.5">
      <c r="A542" s="647"/>
      <c r="B542" s="632"/>
      <c r="C542" s="172" t="s">
        <v>226</v>
      </c>
      <c r="D542" s="45">
        <v>0</v>
      </c>
      <c r="E542" s="119">
        <v>0</v>
      </c>
      <c r="F542" s="45">
        <v>0</v>
      </c>
      <c r="G542" s="45">
        <v>0</v>
      </c>
      <c r="H542" s="45">
        <v>0</v>
      </c>
      <c r="I542" s="178">
        <v>0</v>
      </c>
      <c r="J542" s="178">
        <v>0</v>
      </c>
      <c r="K542" s="58"/>
    </row>
    <row r="543" spans="1:11" s="48" customFormat="1" ht="12.75">
      <c r="A543" s="647"/>
      <c r="B543" s="632"/>
      <c r="C543" s="139" t="s">
        <v>231</v>
      </c>
      <c r="D543" s="43">
        <v>54700</v>
      </c>
      <c r="E543" s="43">
        <f>E544+E545</f>
        <v>54700</v>
      </c>
      <c r="F543" s="43">
        <f>F544+F545</f>
        <v>0</v>
      </c>
      <c r="G543" s="43"/>
      <c r="H543" s="43"/>
      <c r="I543" s="43">
        <f>I544+I545</f>
        <v>54700</v>
      </c>
      <c r="J543" s="43">
        <f>J544+J545</f>
        <v>55000</v>
      </c>
      <c r="K543" s="58"/>
    </row>
    <row r="544" spans="1:11" s="48" customFormat="1" ht="12" customHeight="1">
      <c r="A544" s="647"/>
      <c r="B544" s="632"/>
      <c r="C544" s="172" t="s">
        <v>230</v>
      </c>
      <c r="D544" s="118">
        <v>0</v>
      </c>
      <c r="E544" s="118">
        <v>0</v>
      </c>
      <c r="F544" s="175">
        <v>0</v>
      </c>
      <c r="G544" s="175">
        <v>0</v>
      </c>
      <c r="H544" s="175">
        <v>0</v>
      </c>
      <c r="I544" s="175">
        <v>0</v>
      </c>
      <c r="J544" s="175">
        <v>0</v>
      </c>
      <c r="K544" s="58"/>
    </row>
    <row r="545" spans="1:11" s="48" customFormat="1" ht="25.5">
      <c r="A545" s="647"/>
      <c r="B545" s="632"/>
      <c r="C545" s="172" t="s">
        <v>226</v>
      </c>
      <c r="D545" s="118">
        <v>54700</v>
      </c>
      <c r="E545" s="118">
        <f>'Wykonanie 8 2025'!I1239</f>
        <v>54700</v>
      </c>
      <c r="F545" s="175">
        <v>0</v>
      </c>
      <c r="G545" s="175">
        <v>0</v>
      </c>
      <c r="H545" s="175">
        <v>0</v>
      </c>
      <c r="I545" s="175">
        <v>54700</v>
      </c>
      <c r="J545" s="175">
        <v>55000</v>
      </c>
      <c r="K545" s="58"/>
    </row>
    <row r="546" spans="1:11" s="48" customFormat="1" ht="12.75">
      <c r="A546" s="647"/>
      <c r="B546" s="632"/>
      <c r="C546" s="138" t="s">
        <v>269</v>
      </c>
      <c r="D546" s="121">
        <v>1082669.25</v>
      </c>
      <c r="E546" s="122">
        <f>E547+E548+E549+E550</f>
        <v>1072609.25</v>
      </c>
      <c r="F546" s="122">
        <f>F547+F548+F549+F550</f>
        <v>1132791</v>
      </c>
      <c r="G546" s="122">
        <f>G547+G549+G550</f>
        <v>0</v>
      </c>
      <c r="H546" s="122">
        <f>H547</f>
        <v>0</v>
      </c>
      <c r="I546" s="122">
        <f>I547+I548+I549+I550</f>
        <v>1322502</v>
      </c>
      <c r="J546" s="122">
        <f>J547+J548+J549+J550</f>
        <v>1210945</v>
      </c>
      <c r="K546" s="58"/>
    </row>
    <row r="547" spans="1:11" s="48" customFormat="1" ht="19.5" customHeight="1">
      <c r="A547" s="647"/>
      <c r="B547" s="632"/>
      <c r="C547" s="172" t="s">
        <v>230</v>
      </c>
      <c r="D547" s="118">
        <v>450240</v>
      </c>
      <c r="E547" s="94">
        <f>'Wykonanie 8 2025'!I1222+'Wykonanie 8 2025'!I1223+'Wykonanie 8 2025'!I1225+'Wykonanie 8 2025'!I1226+'Wykonanie 8 2025'!I1228+'Wykonanie 8 2025'!I1241</f>
        <v>451590</v>
      </c>
      <c r="F547" s="94">
        <f>848903-F548</f>
        <v>446289</v>
      </c>
      <c r="G547" s="94">
        <v>0</v>
      </c>
      <c r="H547" s="94">
        <v>0</v>
      </c>
      <c r="I547" s="94">
        <f>876696-I548</f>
        <v>475770</v>
      </c>
      <c r="J547" s="94">
        <v>475770</v>
      </c>
      <c r="K547" s="58"/>
    </row>
    <row r="548" spans="1:11" s="48" customFormat="1" ht="12.75">
      <c r="A548" s="647"/>
      <c r="B548" s="632"/>
      <c r="C548" s="172" t="s">
        <v>262</v>
      </c>
      <c r="D548" s="118">
        <v>335567.25</v>
      </c>
      <c r="E548" s="94">
        <f>'Wykonanie 8 2025'!I1242+'Wykonanie 8 2025'!I1244</f>
        <v>339857.25</v>
      </c>
      <c r="F548" s="94">
        <f>375599+27015</f>
        <v>402614</v>
      </c>
      <c r="G548" s="94">
        <v>0</v>
      </c>
      <c r="H548" s="94">
        <v>0</v>
      </c>
      <c r="I548" s="94">
        <f>369641+31285</f>
        <v>400926</v>
      </c>
      <c r="J548" s="94">
        <v>400926</v>
      </c>
      <c r="K548" s="58"/>
    </row>
    <row r="549" spans="1:11" s="48" customFormat="1" ht="12.75">
      <c r="A549" s="647"/>
      <c r="B549" s="632"/>
      <c r="C549" s="179" t="s">
        <v>263</v>
      </c>
      <c r="D549" s="118">
        <v>0</v>
      </c>
      <c r="E549" s="94">
        <v>0</v>
      </c>
      <c r="F549" s="94">
        <v>1087</v>
      </c>
      <c r="G549" s="94">
        <v>0</v>
      </c>
      <c r="H549" s="94">
        <v>0</v>
      </c>
      <c r="I549" s="94">
        <v>0</v>
      </c>
      <c r="J549" s="94">
        <v>0</v>
      </c>
      <c r="K549" s="58"/>
    </row>
    <row r="550" spans="1:11" s="48" customFormat="1" ht="25.5">
      <c r="A550" s="647"/>
      <c r="B550" s="632"/>
      <c r="C550" s="172" t="s">
        <v>226</v>
      </c>
      <c r="D550" s="118">
        <v>296862</v>
      </c>
      <c r="E550" s="94">
        <f>'Wykonanie 8 2025'!I1229+'Wykonanie 8 2025'!I1230+'Wykonanie 8 2025'!I1231+'Wykonanie 8 2025'!I1232+'Wykonanie 8 2025'!I1233+'Wykonanie 8 2025'!I1234+'Wykonanie 8 2025'!I1235+'Wykonanie 8 2025'!I1236+'Wykonanie 8 2025'!I1237+'Wykonanie 8 2025'!I1238+'Wykonanie 8 2025'!I1240</f>
        <v>281162</v>
      </c>
      <c r="F550" s="94">
        <v>282801</v>
      </c>
      <c r="G550" s="94">
        <v>0</v>
      </c>
      <c r="H550" s="94">
        <v>0</v>
      </c>
      <c r="I550" s="94">
        <v>445806</v>
      </c>
      <c r="J550" s="94">
        <v>334249</v>
      </c>
      <c r="K550" s="58"/>
    </row>
    <row r="551" spans="1:11" s="48" customFormat="1" ht="38.25">
      <c r="A551" s="647"/>
      <c r="B551" s="37">
        <v>85412</v>
      </c>
      <c r="C551" s="174" t="s">
        <v>293</v>
      </c>
      <c r="D551" s="39">
        <v>0</v>
      </c>
      <c r="E551" s="39">
        <f t="shared" ref="E551:J552" si="166">E552</f>
        <v>0</v>
      </c>
      <c r="F551" s="39">
        <f t="shared" si="166"/>
        <v>0</v>
      </c>
      <c r="G551" s="39">
        <f t="shared" si="166"/>
        <v>0</v>
      </c>
      <c r="H551" s="39">
        <v>0</v>
      </c>
      <c r="I551" s="39">
        <f>I552</f>
        <v>0</v>
      </c>
      <c r="J551" s="39">
        <f>J552</f>
        <v>0</v>
      </c>
      <c r="K551" s="58"/>
    </row>
    <row r="552" spans="1:11" s="40" customFormat="1" ht="12.75">
      <c r="A552" s="647"/>
      <c r="B552" s="644"/>
      <c r="C552" s="120" t="s">
        <v>195</v>
      </c>
      <c r="D552" s="121">
        <v>0</v>
      </c>
      <c r="E552" s="122">
        <f t="shared" si="166"/>
        <v>0</v>
      </c>
      <c r="F552" s="122">
        <f t="shared" si="166"/>
        <v>0</v>
      </c>
      <c r="G552" s="122">
        <f t="shared" si="166"/>
        <v>0</v>
      </c>
      <c r="H552" s="122">
        <f t="shared" si="166"/>
        <v>0</v>
      </c>
      <c r="I552" s="122">
        <f>I553</f>
        <v>0</v>
      </c>
      <c r="J552" s="122">
        <f t="shared" si="166"/>
        <v>0</v>
      </c>
      <c r="K552" s="61"/>
    </row>
    <row r="553" spans="1:11" s="40" customFormat="1" ht="25.5">
      <c r="A553" s="647"/>
      <c r="B553" s="646"/>
      <c r="C553" s="98" t="s">
        <v>226</v>
      </c>
      <c r="D553" s="140">
        <v>0</v>
      </c>
      <c r="E553" s="123">
        <v>0</v>
      </c>
      <c r="F553" s="123">
        <v>0</v>
      </c>
      <c r="G553" s="123">
        <v>0</v>
      </c>
      <c r="H553" s="123">
        <v>0</v>
      </c>
      <c r="I553" s="123">
        <v>0</v>
      </c>
      <c r="J553" s="123">
        <v>0</v>
      </c>
      <c r="K553" s="61"/>
    </row>
    <row r="554" spans="1:11" s="48" customFormat="1" ht="25.5">
      <c r="A554" s="647"/>
      <c r="B554" s="37">
        <v>85415</v>
      </c>
      <c r="C554" s="174" t="s">
        <v>294</v>
      </c>
      <c r="D554" s="39">
        <v>0</v>
      </c>
      <c r="E554" s="39">
        <f t="shared" ref="E554:J558" si="167">E555</f>
        <v>0</v>
      </c>
      <c r="F554" s="39">
        <f t="shared" si="167"/>
        <v>0</v>
      </c>
      <c r="G554" s="39">
        <f t="shared" si="167"/>
        <v>0</v>
      </c>
      <c r="H554" s="39">
        <f t="shared" si="167"/>
        <v>0</v>
      </c>
      <c r="I554" s="39">
        <f>I555</f>
        <v>0</v>
      </c>
      <c r="J554" s="39">
        <v>0</v>
      </c>
      <c r="K554" s="58"/>
    </row>
    <row r="555" spans="1:11" s="40" customFormat="1" ht="12.75">
      <c r="A555" s="647"/>
      <c r="B555" s="633"/>
      <c r="C555" s="42" t="s">
        <v>259</v>
      </c>
      <c r="D555" s="43">
        <v>0</v>
      </c>
      <c r="E555" s="43">
        <f t="shared" si="167"/>
        <v>0</v>
      </c>
      <c r="F555" s="43">
        <f t="shared" si="167"/>
        <v>0</v>
      </c>
      <c r="G555" s="43">
        <f t="shared" si="167"/>
        <v>0</v>
      </c>
      <c r="H555" s="43">
        <f t="shared" si="167"/>
        <v>0</v>
      </c>
      <c r="I555" s="43">
        <f>I556</f>
        <v>0</v>
      </c>
      <c r="J555" s="43">
        <f t="shared" si="167"/>
        <v>0</v>
      </c>
      <c r="K555" s="61"/>
    </row>
    <row r="556" spans="1:11" s="40" customFormat="1" ht="12.75">
      <c r="A556" s="647"/>
      <c r="B556" s="636"/>
      <c r="C556" s="179" t="s">
        <v>263</v>
      </c>
      <c r="D556" s="118">
        <v>0</v>
      </c>
      <c r="E556" s="118">
        <v>0</v>
      </c>
      <c r="F556" s="175">
        <v>0</v>
      </c>
      <c r="G556" s="175">
        <v>0</v>
      </c>
      <c r="H556" s="175">
        <v>0</v>
      </c>
      <c r="I556" s="175">
        <v>0</v>
      </c>
      <c r="J556" s="175">
        <v>0</v>
      </c>
      <c r="K556" s="61"/>
    </row>
    <row r="557" spans="1:11" s="48" customFormat="1" ht="25.5">
      <c r="A557" s="69"/>
      <c r="B557" s="37" t="s">
        <v>295</v>
      </c>
      <c r="C557" s="174" t="s">
        <v>296</v>
      </c>
      <c r="D557" s="39">
        <v>5000</v>
      </c>
      <c r="E557" s="39">
        <f t="shared" si="167"/>
        <v>5000</v>
      </c>
      <c r="F557" s="39">
        <f t="shared" si="167"/>
        <v>0</v>
      </c>
      <c r="G557" s="39">
        <f t="shared" si="167"/>
        <v>0</v>
      </c>
      <c r="H557" s="39">
        <f t="shared" si="167"/>
        <v>0</v>
      </c>
      <c r="I557" s="39">
        <f>I558</f>
        <v>7000</v>
      </c>
      <c r="J557" s="39">
        <f>J558</f>
        <v>5000</v>
      </c>
      <c r="K557" s="58"/>
    </row>
    <row r="558" spans="1:11" s="40" customFormat="1" ht="12.75">
      <c r="A558" s="69"/>
      <c r="B558" s="633"/>
      <c r="C558" s="42" t="s">
        <v>259</v>
      </c>
      <c r="D558" s="43">
        <v>5000</v>
      </c>
      <c r="E558" s="43">
        <f t="shared" si="167"/>
        <v>5000</v>
      </c>
      <c r="F558" s="43">
        <f t="shared" si="167"/>
        <v>0</v>
      </c>
      <c r="G558" s="43">
        <f t="shared" si="167"/>
        <v>0</v>
      </c>
      <c r="H558" s="43">
        <f t="shared" si="167"/>
        <v>0</v>
      </c>
      <c r="I558" s="43">
        <f>I559</f>
        <v>7000</v>
      </c>
      <c r="J558" s="43">
        <f t="shared" si="167"/>
        <v>5000</v>
      </c>
      <c r="K558" s="61"/>
    </row>
    <row r="559" spans="1:11" s="40" customFormat="1" ht="12.75">
      <c r="A559" s="69"/>
      <c r="B559" s="636"/>
      <c r="C559" s="179" t="s">
        <v>263</v>
      </c>
      <c r="D559" s="118">
        <v>5000</v>
      </c>
      <c r="E559" s="175">
        <f>'Wykonanie 8 2025'!I1245+'Wykonanie 8 2025'!I1246+'Wykonanie 8 2025'!I1247+'Wykonanie 8 2025'!I1248+'Wykonanie 8 2025'!I1249+'Wykonanie 8 2025'!I1250+'Wykonanie 8 2025'!I1251</f>
        <v>5000</v>
      </c>
      <c r="F559" s="175">
        <v>0</v>
      </c>
      <c r="G559" s="175">
        <v>0</v>
      </c>
      <c r="H559" s="175">
        <v>0</v>
      </c>
      <c r="I559" s="175">
        <v>7000</v>
      </c>
      <c r="J559" s="175">
        <v>5000</v>
      </c>
      <c r="K559" s="570"/>
    </row>
    <row r="560" spans="1:11" s="48" customFormat="1">
      <c r="A560" s="68"/>
      <c r="B560" s="37">
        <v>85419</v>
      </c>
      <c r="C560" s="174" t="s">
        <v>297</v>
      </c>
      <c r="D560" s="39">
        <v>5644402</v>
      </c>
      <c r="E560" s="39">
        <f t="shared" ref="E560:H560" si="168">E561+E563</f>
        <v>5818157.1799999997</v>
      </c>
      <c r="F560" s="39">
        <f t="shared" si="168"/>
        <v>6412471</v>
      </c>
      <c r="G560" s="39">
        <f t="shared" si="168"/>
        <v>0</v>
      </c>
      <c r="H560" s="39">
        <f t="shared" si="168"/>
        <v>0</v>
      </c>
      <c r="I560" s="39">
        <f>I561</f>
        <v>6861344</v>
      </c>
      <c r="J560" s="39">
        <f>J561</f>
        <v>6861344</v>
      </c>
      <c r="K560" s="58"/>
    </row>
    <row r="561" spans="1:11" s="40" customFormat="1">
      <c r="A561" s="163"/>
      <c r="B561" s="658"/>
      <c r="C561" s="42" t="s">
        <v>259</v>
      </c>
      <c r="D561" s="43">
        <v>5644402</v>
      </c>
      <c r="E561" s="43">
        <f t="shared" ref="E561:J561" si="169">E562</f>
        <v>5619402</v>
      </c>
      <c r="F561" s="43">
        <f t="shared" si="169"/>
        <v>6412471</v>
      </c>
      <c r="G561" s="43">
        <f t="shared" si="169"/>
        <v>0</v>
      </c>
      <c r="H561" s="43">
        <f t="shared" si="169"/>
        <v>0</v>
      </c>
      <c r="I561" s="43">
        <f>I562</f>
        <v>6861344</v>
      </c>
      <c r="J561" s="43">
        <f t="shared" si="169"/>
        <v>6861344</v>
      </c>
      <c r="K561" s="61"/>
    </row>
    <row r="562" spans="1:11" s="40" customFormat="1" ht="12.75">
      <c r="A562" s="69"/>
      <c r="B562" s="659"/>
      <c r="C562" s="180" t="s">
        <v>268</v>
      </c>
      <c r="D562" s="118">
        <v>5644402</v>
      </c>
      <c r="E562" s="118">
        <f>'Wykonanie 8 2025'!I1253+'Wykonanie 8 2025'!I1254</f>
        <v>5619402</v>
      </c>
      <c r="F562" s="175">
        <v>6412471</v>
      </c>
      <c r="G562" s="175">
        <v>0</v>
      </c>
      <c r="H562" s="175">
        <v>0</v>
      </c>
      <c r="I562" s="175">
        <v>6861344</v>
      </c>
      <c r="J562" s="175">
        <v>6861344</v>
      </c>
      <c r="K562" s="61"/>
    </row>
    <row r="563" spans="1:11" s="40" customFormat="1" ht="12.75">
      <c r="A563" s="69"/>
      <c r="B563" s="659"/>
      <c r="C563" s="120" t="s">
        <v>265</v>
      </c>
      <c r="D563" s="121">
        <v>0</v>
      </c>
      <c r="E563" s="121">
        <f t="shared" ref="E563:J563" si="170">E564</f>
        <v>198755.18</v>
      </c>
      <c r="F563" s="121">
        <f t="shared" si="170"/>
        <v>0</v>
      </c>
      <c r="G563" s="121">
        <f t="shared" si="170"/>
        <v>0</v>
      </c>
      <c r="H563" s="121">
        <f t="shared" si="170"/>
        <v>0</v>
      </c>
      <c r="I563" s="121">
        <f t="shared" si="170"/>
        <v>0</v>
      </c>
      <c r="J563" s="121">
        <f t="shared" si="170"/>
        <v>0</v>
      </c>
      <c r="K563" s="61"/>
    </row>
    <row r="564" spans="1:11" s="40" customFormat="1" ht="12.75">
      <c r="A564" s="69"/>
      <c r="B564" s="660"/>
      <c r="C564" s="114" t="s">
        <v>268</v>
      </c>
      <c r="D564" s="45">
        <v>0</v>
      </c>
      <c r="E564" s="45">
        <f>'Wykonanie 8 2025'!I1252</f>
        <v>198755.18</v>
      </c>
      <c r="F564" s="46">
        <v>0</v>
      </c>
      <c r="G564" s="46">
        <v>0</v>
      </c>
      <c r="H564" s="46">
        <v>0</v>
      </c>
      <c r="I564" s="46">
        <v>0</v>
      </c>
      <c r="J564" s="46">
        <v>0</v>
      </c>
      <c r="K564" s="61"/>
    </row>
    <row r="565" spans="1:11" s="48" customFormat="1">
      <c r="A565" s="68"/>
      <c r="B565" s="37">
        <v>85446</v>
      </c>
      <c r="C565" s="174" t="s">
        <v>274</v>
      </c>
      <c r="D565" s="39">
        <v>32427</v>
      </c>
      <c r="E565" s="39">
        <f t="shared" ref="E565:H566" si="171">E566</f>
        <v>32427</v>
      </c>
      <c r="F565" s="39">
        <f t="shared" si="171"/>
        <v>0</v>
      </c>
      <c r="G565" s="39">
        <f t="shared" si="171"/>
        <v>0</v>
      </c>
      <c r="H565" s="39">
        <f t="shared" si="171"/>
        <v>0</v>
      </c>
      <c r="I565" s="39">
        <f>I566</f>
        <v>36900</v>
      </c>
      <c r="J565" s="39">
        <f>J566</f>
        <v>36900</v>
      </c>
      <c r="K565" s="58"/>
    </row>
    <row r="566" spans="1:11" s="18" customFormat="1">
      <c r="A566" s="163"/>
      <c r="B566" s="34"/>
      <c r="C566" s="42" t="s">
        <v>259</v>
      </c>
      <c r="D566" s="43">
        <v>32427</v>
      </c>
      <c r="E566" s="43">
        <f t="shared" si="171"/>
        <v>32427</v>
      </c>
      <c r="F566" s="43">
        <f t="shared" si="171"/>
        <v>0</v>
      </c>
      <c r="G566" s="43">
        <f t="shared" si="171"/>
        <v>0</v>
      </c>
      <c r="H566" s="43">
        <f t="shared" si="171"/>
        <v>0</v>
      </c>
      <c r="I566" s="43">
        <f>I567</f>
        <v>36900</v>
      </c>
      <c r="J566" s="43">
        <f>J567</f>
        <v>36900</v>
      </c>
      <c r="K566" s="28"/>
    </row>
    <row r="567" spans="1:11" s="40" customFormat="1" ht="25.5">
      <c r="A567" s="69"/>
      <c r="B567" s="113"/>
      <c r="C567" s="172" t="s">
        <v>226</v>
      </c>
      <c r="D567" s="118">
        <v>32427</v>
      </c>
      <c r="E567" s="118">
        <f>'Wykonanie 8 2025'!I1255+'Wykonanie 8 2025'!I1256+'Wykonanie 8 2025'!I1257+'Wykonanie 8 2025'!I1258+'Wykonanie 8 2025'!I1259+'Wykonanie 8 2025'!I1260+'Wykonanie 8 2025'!I1261+'Wykonanie 8 2025'!I1262+'Wykonanie 8 2025'!I1263+'Wykonanie 8 2025'!I1264+'Wykonanie 8 2025'!I1265+'Wykonanie 8 2025'!I1266</f>
        <v>32427</v>
      </c>
      <c r="F567" s="175">
        <v>0</v>
      </c>
      <c r="G567" s="175">
        <v>0</v>
      </c>
      <c r="H567" s="175">
        <v>0</v>
      </c>
      <c r="I567" s="175">
        <v>36900</v>
      </c>
      <c r="J567" s="175">
        <v>36900</v>
      </c>
      <c r="K567" s="61"/>
    </row>
    <row r="568" spans="1:11" s="40" customFormat="1">
      <c r="A568" s="68"/>
      <c r="B568" s="37">
        <v>85495</v>
      </c>
      <c r="C568" s="174" t="s">
        <v>45</v>
      </c>
      <c r="D568" s="39">
        <v>73792</v>
      </c>
      <c r="E568" s="39">
        <f t="shared" ref="E568:J568" si="172">E569+E572</f>
        <v>76368</v>
      </c>
      <c r="F568" s="39">
        <f t="shared" si="172"/>
        <v>0</v>
      </c>
      <c r="G568" s="39">
        <f t="shared" si="172"/>
        <v>0</v>
      </c>
      <c r="H568" s="39">
        <f t="shared" si="172"/>
        <v>0</v>
      </c>
      <c r="I568" s="39">
        <f t="shared" si="172"/>
        <v>72614</v>
      </c>
      <c r="J568" s="39">
        <f t="shared" si="172"/>
        <v>72614</v>
      </c>
      <c r="K568" s="61"/>
    </row>
    <row r="569" spans="1:11" s="48" customFormat="1">
      <c r="A569" s="163"/>
      <c r="B569" s="633"/>
      <c r="C569" s="42" t="s">
        <v>259</v>
      </c>
      <c r="D569" s="43">
        <v>73792</v>
      </c>
      <c r="E569" s="43">
        <f t="shared" ref="E569:J569" si="173">E570+E571</f>
        <v>76368</v>
      </c>
      <c r="F569" s="43">
        <f t="shared" si="173"/>
        <v>0</v>
      </c>
      <c r="G569" s="43">
        <f t="shared" si="173"/>
        <v>0</v>
      </c>
      <c r="H569" s="43">
        <f t="shared" si="173"/>
        <v>0</v>
      </c>
      <c r="I569" s="43">
        <f t="shared" si="173"/>
        <v>72614</v>
      </c>
      <c r="J569" s="43">
        <f t="shared" si="173"/>
        <v>72614</v>
      </c>
      <c r="K569" s="58"/>
    </row>
    <row r="570" spans="1:11" s="40" customFormat="1" ht="12.75">
      <c r="A570" s="69"/>
      <c r="B570" s="632"/>
      <c r="C570" s="179" t="s">
        <v>263</v>
      </c>
      <c r="D570" s="189">
        <v>12161</v>
      </c>
      <c r="E570" s="118">
        <f>'Wykonanie 8 2025'!I1267</f>
        <v>12161</v>
      </c>
      <c r="F570" s="181">
        <v>0</v>
      </c>
      <c r="G570" s="181">
        <v>0</v>
      </c>
      <c r="H570" s="181">
        <v>0</v>
      </c>
      <c r="I570" s="181">
        <v>13837</v>
      </c>
      <c r="J570" s="181">
        <v>13837</v>
      </c>
      <c r="K570" s="61"/>
    </row>
    <row r="571" spans="1:11" s="40" customFormat="1" ht="25.5">
      <c r="A571" s="69"/>
      <c r="B571" s="632"/>
      <c r="C571" s="172" t="s">
        <v>226</v>
      </c>
      <c r="D571" s="189">
        <v>61631</v>
      </c>
      <c r="E571" s="140">
        <f>'Wykonanie 8 2025'!I1268+'Wykonanie 8 2025'!I1269+'Wykonanie 8 2025'!I1270+'Wykonanie 8 2025'!I1271+'Wykonanie 8 2025'!I1272+'Wykonanie 8 2025'!I1273+'Wykonanie 8 2025'!I1274</f>
        <v>64207</v>
      </c>
      <c r="F571" s="181">
        <v>0</v>
      </c>
      <c r="G571" s="181">
        <v>0</v>
      </c>
      <c r="H571" s="181">
        <v>0</v>
      </c>
      <c r="I571" s="181">
        <v>58777</v>
      </c>
      <c r="J571" s="181">
        <v>58777</v>
      </c>
      <c r="K571" s="61"/>
    </row>
    <row r="572" spans="1:11" s="40" customFormat="1" ht="12.75">
      <c r="A572" s="69"/>
      <c r="B572" s="632"/>
      <c r="C572" s="42" t="s">
        <v>231</v>
      </c>
      <c r="D572" s="43">
        <v>0</v>
      </c>
      <c r="E572" s="43">
        <f t="shared" ref="E572:J572" si="174">E573</f>
        <v>0</v>
      </c>
      <c r="F572" s="43">
        <f t="shared" si="174"/>
        <v>0</v>
      </c>
      <c r="G572" s="43">
        <f t="shared" si="174"/>
        <v>0</v>
      </c>
      <c r="H572" s="43">
        <f t="shared" si="174"/>
        <v>0</v>
      </c>
      <c r="I572" s="43">
        <f t="shared" si="174"/>
        <v>0</v>
      </c>
      <c r="J572" s="43">
        <f t="shared" si="174"/>
        <v>0</v>
      </c>
      <c r="K572" s="61"/>
    </row>
    <row r="573" spans="1:11" s="40" customFormat="1" ht="25.5">
      <c r="A573" s="69"/>
      <c r="B573" s="636"/>
      <c r="C573" s="172" t="s">
        <v>226</v>
      </c>
      <c r="D573" s="119">
        <v>0</v>
      </c>
      <c r="E573" s="140">
        <v>0</v>
      </c>
      <c r="F573" s="178">
        <v>0</v>
      </c>
      <c r="G573" s="178">
        <v>0</v>
      </c>
      <c r="H573" s="178">
        <v>0</v>
      </c>
      <c r="I573" s="178">
        <v>0</v>
      </c>
      <c r="J573" s="178">
        <v>0</v>
      </c>
      <c r="K573" s="61"/>
    </row>
    <row r="574" spans="1:11" s="48" customFormat="1" ht="12.75">
      <c r="A574" s="33" t="s">
        <v>298</v>
      </c>
      <c r="B574" s="81"/>
      <c r="C574" s="182" t="s">
        <v>190</v>
      </c>
      <c r="D574" s="36">
        <v>11650092</v>
      </c>
      <c r="E574" s="36">
        <f t="shared" ref="E574:J574" si="175">E575+E593+E611</f>
        <v>12674350</v>
      </c>
      <c r="F574" s="36">
        <f t="shared" si="175"/>
        <v>13740681.870000001</v>
      </c>
      <c r="G574" s="36">
        <f t="shared" si="175"/>
        <v>286426.98</v>
      </c>
      <c r="H574" s="36">
        <f t="shared" si="175"/>
        <v>0</v>
      </c>
      <c r="I574" s="36">
        <f t="shared" si="175"/>
        <v>14678283</v>
      </c>
      <c r="J574" s="36">
        <f t="shared" si="175"/>
        <v>13303157</v>
      </c>
      <c r="K574" s="58"/>
    </row>
    <row r="575" spans="1:11" s="48" customFormat="1">
      <c r="A575" s="100"/>
      <c r="B575" s="183" t="s">
        <v>299</v>
      </c>
      <c r="C575" s="38" t="s">
        <v>191</v>
      </c>
      <c r="D575" s="39">
        <v>6207234</v>
      </c>
      <c r="E575" s="39">
        <f>E576+E583+E590+E588</f>
        <v>6507626</v>
      </c>
      <c r="F575" s="39">
        <f>F576+F583+F590</f>
        <v>7757038.2800000003</v>
      </c>
      <c r="G575" s="39">
        <f>G576+G583+G590</f>
        <v>162895.98000000001</v>
      </c>
      <c r="H575" s="39">
        <f>H576+H583+H590</f>
        <v>0</v>
      </c>
      <c r="I575" s="39">
        <f>I576+I583+I590</f>
        <v>8418784</v>
      </c>
      <c r="J575" s="39">
        <f>J576+J583+J590</f>
        <v>7043297</v>
      </c>
      <c r="K575" s="58"/>
    </row>
    <row r="576" spans="1:11" s="48" customFormat="1">
      <c r="A576" s="109"/>
      <c r="B576" s="634"/>
      <c r="C576" s="42" t="s">
        <v>231</v>
      </c>
      <c r="D576" s="43">
        <v>14544</v>
      </c>
      <c r="E576" s="43">
        <f>E577</f>
        <v>14544</v>
      </c>
      <c r="F576" s="43">
        <f t="shared" ref="F576:H576" si="176">SUM(F577:F582)</f>
        <v>29088</v>
      </c>
      <c r="G576" s="43">
        <f t="shared" si="176"/>
        <v>0</v>
      </c>
      <c r="H576" s="43">
        <f t="shared" si="176"/>
        <v>0</v>
      </c>
      <c r="I576" s="43">
        <f>I577</f>
        <v>16224</v>
      </c>
      <c r="J576" s="43">
        <f>J577</f>
        <v>0</v>
      </c>
      <c r="K576" s="58"/>
    </row>
    <row r="577" spans="1:13" s="48" customFormat="1" ht="12.75">
      <c r="A577" s="110"/>
      <c r="B577" s="635"/>
      <c r="C577" s="184" t="s">
        <v>268</v>
      </c>
      <c r="D577" s="45">
        <v>14544</v>
      </c>
      <c r="E577" s="46">
        <f>E578+E579</f>
        <v>14544</v>
      </c>
      <c r="F577" s="46">
        <v>14544</v>
      </c>
      <c r="G577" s="46">
        <f t="shared" ref="G577:I577" si="177">G578+G579</f>
        <v>0</v>
      </c>
      <c r="H577" s="46">
        <f t="shared" si="177"/>
        <v>0</v>
      </c>
      <c r="I577" s="46">
        <f t="shared" si="177"/>
        <v>16224</v>
      </c>
      <c r="J577" s="46">
        <f>J578+J579</f>
        <v>0</v>
      </c>
      <c r="K577" s="58"/>
    </row>
    <row r="578" spans="1:13" s="48" customFormat="1" ht="12.75">
      <c r="A578" s="110"/>
      <c r="B578" s="635"/>
      <c r="C578" s="358" t="s">
        <v>647</v>
      </c>
      <c r="D578" s="359">
        <v>0</v>
      </c>
      <c r="E578" s="360">
        <v>0</v>
      </c>
      <c r="F578" s="360">
        <f>E578</f>
        <v>0</v>
      </c>
      <c r="G578" s="360">
        <v>0</v>
      </c>
      <c r="H578" s="360">
        <v>0</v>
      </c>
      <c r="I578" s="360">
        <v>0</v>
      </c>
      <c r="J578" s="360">
        <v>0</v>
      </c>
      <c r="K578" s="58"/>
    </row>
    <row r="579" spans="1:13" s="48" customFormat="1" ht="12.75">
      <c r="A579" s="110"/>
      <c r="B579" s="635"/>
      <c r="C579" s="358" t="s">
        <v>648</v>
      </c>
      <c r="D579" s="359">
        <v>14544</v>
      </c>
      <c r="E579" s="360">
        <f>'Wykonanie 8 2025'!I1275</f>
        <v>14544</v>
      </c>
      <c r="F579" s="360">
        <v>14544</v>
      </c>
      <c r="G579" s="360">
        <v>0</v>
      </c>
      <c r="H579" s="360">
        <v>0</v>
      </c>
      <c r="I579" s="360">
        <v>16224</v>
      </c>
      <c r="J579" s="360">
        <v>0</v>
      </c>
      <c r="K579" s="58"/>
      <c r="M579" s="58"/>
    </row>
    <row r="580" spans="1:13" s="48" customFormat="1" ht="12.75">
      <c r="A580" s="110"/>
      <c r="B580" s="635"/>
      <c r="C580" s="131" t="s">
        <v>263</v>
      </c>
      <c r="D580" s="45">
        <v>0</v>
      </c>
      <c r="E580" s="46">
        <v>0</v>
      </c>
      <c r="F580" s="46">
        <v>0</v>
      </c>
      <c r="G580" s="46">
        <v>0</v>
      </c>
      <c r="H580" s="46">
        <v>0</v>
      </c>
      <c r="I580" s="46">
        <v>0</v>
      </c>
      <c r="J580" s="46">
        <v>0</v>
      </c>
      <c r="K580" s="58"/>
    </row>
    <row r="581" spans="1:13" s="48" customFormat="1" ht="15" customHeight="1">
      <c r="A581" s="110"/>
      <c r="B581" s="635"/>
      <c r="C581" s="44" t="s">
        <v>230</v>
      </c>
      <c r="D581" s="45">
        <v>0</v>
      </c>
      <c r="E581" s="46">
        <v>0</v>
      </c>
      <c r="F581" s="46">
        <v>0</v>
      </c>
      <c r="G581" s="46">
        <v>0</v>
      </c>
      <c r="H581" s="46">
        <v>0</v>
      </c>
      <c r="I581" s="46">
        <v>0</v>
      </c>
      <c r="J581" s="46">
        <v>0</v>
      </c>
      <c r="K581" s="58"/>
    </row>
    <row r="582" spans="1:13" s="48" customFormat="1" ht="25.5">
      <c r="A582" s="124"/>
      <c r="B582" s="635"/>
      <c r="C582" s="44" t="s">
        <v>226</v>
      </c>
      <c r="D582" s="45">
        <v>0</v>
      </c>
      <c r="E582" s="46">
        <v>0</v>
      </c>
      <c r="F582" s="46">
        <v>0</v>
      </c>
      <c r="G582" s="46">
        <v>0</v>
      </c>
      <c r="H582" s="46">
        <v>0</v>
      </c>
      <c r="I582" s="46">
        <v>0</v>
      </c>
      <c r="J582" s="46">
        <v>0</v>
      </c>
      <c r="K582" s="58"/>
      <c r="L582" s="58"/>
    </row>
    <row r="583" spans="1:13" s="48" customFormat="1" ht="12.75">
      <c r="A583" s="110"/>
      <c r="B583" s="635"/>
      <c r="C583" s="120" t="s">
        <v>217</v>
      </c>
      <c r="D583" s="121">
        <v>6192690</v>
      </c>
      <c r="E583" s="121">
        <f t="shared" ref="E583:I583" si="178">E585+E586+E587</f>
        <v>6246321</v>
      </c>
      <c r="F583" s="121">
        <f t="shared" si="178"/>
        <v>7727950.2800000003</v>
      </c>
      <c r="G583" s="121">
        <f t="shared" si="178"/>
        <v>162895.98000000001</v>
      </c>
      <c r="H583" s="121">
        <f t="shared" si="178"/>
        <v>0</v>
      </c>
      <c r="I583" s="121">
        <f t="shared" si="178"/>
        <v>8402560</v>
      </c>
      <c r="J583" s="121">
        <f>J584+J585+J586+J587</f>
        <v>7043297</v>
      </c>
      <c r="K583" s="58"/>
    </row>
    <row r="584" spans="1:13" s="48" customFormat="1" ht="12.75">
      <c r="A584" s="110"/>
      <c r="B584" s="635"/>
      <c r="C584" s="184" t="s">
        <v>268</v>
      </c>
      <c r="D584" s="45">
        <v>0</v>
      </c>
      <c r="E584" s="46">
        <v>0</v>
      </c>
      <c r="F584" s="46">
        <v>0</v>
      </c>
      <c r="G584" s="46">
        <v>0</v>
      </c>
      <c r="H584" s="46">
        <v>0</v>
      </c>
      <c r="I584" s="46">
        <v>16224</v>
      </c>
      <c r="J584" s="46">
        <v>16224</v>
      </c>
      <c r="K584" s="58"/>
    </row>
    <row r="585" spans="1:13" s="40" customFormat="1" ht="12" customHeight="1">
      <c r="A585" s="110"/>
      <c r="B585" s="635"/>
      <c r="C585" s="56" t="s">
        <v>230</v>
      </c>
      <c r="D585" s="45">
        <v>2015754</v>
      </c>
      <c r="E585" s="57">
        <f>'Wykonanie 8 2025'!I1281+'Wykonanie 8 2025'!I1282+'Wykonanie 8 2025'!I1284+'Wykonanie 8 2025'!I1286+'Wykonanie 8 2025'!I1288</f>
        <v>2069385</v>
      </c>
      <c r="F585" s="57">
        <v>2313839.34</v>
      </c>
      <c r="G585" s="57">
        <v>0</v>
      </c>
      <c r="H585" s="57">
        <v>0</v>
      </c>
      <c r="I585" s="57">
        <v>2779428</v>
      </c>
      <c r="J585" s="57">
        <v>2221913</v>
      </c>
      <c r="K585" s="61"/>
    </row>
    <row r="586" spans="1:13" s="40" customFormat="1" ht="12.75">
      <c r="A586" s="110"/>
      <c r="B586" s="635"/>
      <c r="C586" s="134" t="s">
        <v>263</v>
      </c>
      <c r="D586" s="45">
        <v>3902340</v>
      </c>
      <c r="E586" s="57">
        <f>'Wykonanie 8 2025'!I1279</f>
        <v>3900340</v>
      </c>
      <c r="F586" s="57">
        <v>5123543.9400000004</v>
      </c>
      <c r="G586" s="57">
        <v>162895.98000000001</v>
      </c>
      <c r="H586" s="57">
        <v>0</v>
      </c>
      <c r="I586" s="57">
        <v>5318464</v>
      </c>
      <c r="J586" s="57">
        <v>4500500</v>
      </c>
      <c r="K586" s="61"/>
    </row>
    <row r="587" spans="1:13" s="48" customFormat="1" ht="25.5">
      <c r="A587" s="110"/>
      <c r="B587" s="635"/>
      <c r="C587" s="56" t="s">
        <v>226</v>
      </c>
      <c r="D587" s="45">
        <v>274596</v>
      </c>
      <c r="E587" s="57">
        <f>'Wykonanie 8 2025'!I1277+'Wykonanie 8 2025'!I1289+'Wykonanie 8 2025'!I1290</f>
        <v>276596</v>
      </c>
      <c r="F587" s="57">
        <v>290567</v>
      </c>
      <c r="G587" s="57">
        <v>0</v>
      </c>
      <c r="H587" s="57">
        <v>0</v>
      </c>
      <c r="I587" s="57">
        <v>304668</v>
      </c>
      <c r="J587" s="57">
        <v>304660</v>
      </c>
      <c r="K587" s="58"/>
    </row>
    <row r="588" spans="1:13" s="48" customFormat="1" ht="22.5">
      <c r="A588" s="110"/>
      <c r="B588" s="635"/>
      <c r="C588" s="120" t="s">
        <v>752</v>
      </c>
      <c r="D588" s="121">
        <f>D589</f>
        <v>0</v>
      </c>
      <c r="E588" s="121">
        <f t="shared" ref="E588:J588" si="179">E589</f>
        <v>227576</v>
      </c>
      <c r="F588" s="121">
        <f t="shared" si="179"/>
        <v>0</v>
      </c>
      <c r="G588" s="121">
        <f t="shared" si="179"/>
        <v>0</v>
      </c>
      <c r="H588" s="121">
        <f t="shared" si="179"/>
        <v>0</v>
      </c>
      <c r="I588" s="121">
        <f t="shared" si="179"/>
        <v>0</v>
      </c>
      <c r="J588" s="121">
        <f t="shared" si="179"/>
        <v>0</v>
      </c>
      <c r="K588" s="58"/>
    </row>
    <row r="589" spans="1:13" s="48" customFormat="1" ht="19.5" customHeight="1">
      <c r="A589" s="110"/>
      <c r="B589" s="635"/>
      <c r="C589" s="56" t="s">
        <v>230</v>
      </c>
      <c r="D589" s="45">
        <v>0</v>
      </c>
      <c r="E589" s="57">
        <f>'Wykonanie 8 2025'!I1283+'Wykonanie 8 2025'!I1285+'Wykonanie 8 2025'!I1287</f>
        <v>227576</v>
      </c>
      <c r="F589" s="57"/>
      <c r="G589" s="57"/>
      <c r="H589" s="57"/>
      <c r="I589" s="57"/>
      <c r="J589" s="57"/>
      <c r="K589" s="58"/>
    </row>
    <row r="590" spans="1:13" s="48" customFormat="1" ht="12.75">
      <c r="A590" s="110"/>
      <c r="B590" s="635"/>
      <c r="C590" s="120" t="s">
        <v>265</v>
      </c>
      <c r="D590" s="121">
        <v>0</v>
      </c>
      <c r="E590" s="121">
        <f>E591+E592</f>
        <v>19185</v>
      </c>
      <c r="F590" s="121">
        <f t="shared" ref="F590" si="180">F591</f>
        <v>0</v>
      </c>
      <c r="G590" s="121">
        <f t="shared" ref="G590" si="181">G591</f>
        <v>0</v>
      </c>
      <c r="H590" s="121">
        <f t="shared" ref="H590" si="182">H591</f>
        <v>0</v>
      </c>
      <c r="I590" s="121">
        <f t="shared" ref="I590" si="183">I591</f>
        <v>0</v>
      </c>
      <c r="J590" s="121">
        <f t="shared" ref="J590" si="184">J591</f>
        <v>0</v>
      </c>
      <c r="K590" s="58"/>
    </row>
    <row r="591" spans="1:13" s="48" customFormat="1" ht="12.75">
      <c r="A591" s="110"/>
      <c r="B591" s="661"/>
      <c r="C591" s="134" t="s">
        <v>263</v>
      </c>
      <c r="D591" s="45">
        <v>0</v>
      </c>
      <c r="E591" s="45">
        <f>'Wykonanie 8 2025'!I1280</f>
        <v>9026</v>
      </c>
      <c r="F591" s="46">
        <v>0</v>
      </c>
      <c r="G591" s="46">
        <v>0</v>
      </c>
      <c r="H591" s="46">
        <v>0</v>
      </c>
      <c r="I591" s="46">
        <v>0</v>
      </c>
      <c r="J591" s="46">
        <v>0</v>
      </c>
      <c r="K591" s="58"/>
    </row>
    <row r="592" spans="1:13" s="48" customFormat="1" ht="14.25" customHeight="1">
      <c r="A592" s="110"/>
      <c r="B592" s="365"/>
      <c r="C592" s="56" t="s">
        <v>230</v>
      </c>
      <c r="D592" s="45">
        <v>0</v>
      </c>
      <c r="E592" s="45">
        <f>'Wykonanie 8 2025'!I1291+'Wykonanie 8 2025'!I1292</f>
        <v>10159</v>
      </c>
      <c r="F592" s="46"/>
      <c r="G592" s="46"/>
      <c r="H592" s="46"/>
      <c r="I592" s="46"/>
      <c r="J592" s="46"/>
      <c r="K592" s="58"/>
    </row>
    <row r="593" spans="1:12" s="48" customFormat="1" ht="25.5">
      <c r="A593" s="100"/>
      <c r="B593" s="183" t="s">
        <v>300</v>
      </c>
      <c r="C593" s="38" t="s">
        <v>194</v>
      </c>
      <c r="D593" s="39">
        <v>5427858</v>
      </c>
      <c r="E593" s="39">
        <f t="shared" ref="E593:J593" si="185">E594+E599+E603+E607</f>
        <v>6151724</v>
      </c>
      <c r="F593" s="39">
        <f t="shared" si="185"/>
        <v>5983643.5899999999</v>
      </c>
      <c r="G593" s="39">
        <f t="shared" si="185"/>
        <v>123531</v>
      </c>
      <c r="H593" s="39">
        <f t="shared" si="185"/>
        <v>0</v>
      </c>
      <c r="I593" s="39">
        <f t="shared" si="185"/>
        <v>6244499</v>
      </c>
      <c r="J593" s="39">
        <f t="shared" si="185"/>
        <v>6244860</v>
      </c>
      <c r="K593" s="58"/>
    </row>
    <row r="594" spans="1:12" s="48" customFormat="1">
      <c r="A594" s="109"/>
      <c r="B594" s="154"/>
      <c r="C594" s="42" t="s">
        <v>231</v>
      </c>
      <c r="D594" s="43">
        <v>4600</v>
      </c>
      <c r="E594" s="43">
        <f t="shared" ref="E594:J594" si="186">SUM(E595:E598)</f>
        <v>4600</v>
      </c>
      <c r="F594" s="43">
        <f t="shared" si="186"/>
        <v>0</v>
      </c>
      <c r="G594" s="43">
        <f t="shared" si="186"/>
        <v>0</v>
      </c>
      <c r="H594" s="43">
        <f t="shared" si="186"/>
        <v>0</v>
      </c>
      <c r="I594" s="43">
        <f t="shared" si="186"/>
        <v>4600</v>
      </c>
      <c r="J594" s="43">
        <f t="shared" si="186"/>
        <v>5000</v>
      </c>
      <c r="K594" s="58"/>
      <c r="L594" s="58"/>
    </row>
    <row r="595" spans="1:12" s="48" customFormat="1" ht="12.75">
      <c r="A595" s="110"/>
      <c r="B595" s="156"/>
      <c r="C595" s="184" t="s">
        <v>268</v>
      </c>
      <c r="D595" s="45">
        <v>0</v>
      </c>
      <c r="E595" s="46">
        <v>0</v>
      </c>
      <c r="F595" s="46">
        <v>0</v>
      </c>
      <c r="G595" s="46">
        <v>0</v>
      </c>
      <c r="H595" s="46">
        <v>0</v>
      </c>
      <c r="I595" s="46">
        <v>0</v>
      </c>
      <c r="J595" s="46">
        <v>0</v>
      </c>
      <c r="K595" s="58"/>
    </row>
    <row r="596" spans="1:12" s="48" customFormat="1" ht="12.75">
      <c r="A596" s="110"/>
      <c r="B596" s="156"/>
      <c r="C596" s="131" t="s">
        <v>263</v>
      </c>
      <c r="D596" s="45">
        <v>0</v>
      </c>
      <c r="E596" s="46">
        <v>0</v>
      </c>
      <c r="F596" s="46">
        <v>0</v>
      </c>
      <c r="G596" s="46">
        <v>0</v>
      </c>
      <c r="H596" s="46">
        <v>0</v>
      </c>
      <c r="I596" s="46">
        <v>0</v>
      </c>
      <c r="J596" s="46">
        <v>0</v>
      </c>
      <c r="K596" s="58"/>
    </row>
    <row r="597" spans="1:12" s="48" customFormat="1" ht="14.25" customHeight="1">
      <c r="A597" s="110"/>
      <c r="B597" s="156"/>
      <c r="C597" s="44" t="s">
        <v>230</v>
      </c>
      <c r="D597" s="45">
        <v>0</v>
      </c>
      <c r="E597" s="46">
        <v>0</v>
      </c>
      <c r="F597" s="46">
        <v>0</v>
      </c>
      <c r="G597" s="46">
        <v>0</v>
      </c>
      <c r="H597" s="46">
        <v>0</v>
      </c>
      <c r="I597" s="46">
        <v>0</v>
      </c>
      <c r="J597" s="46">
        <v>0</v>
      </c>
      <c r="K597" s="58"/>
    </row>
    <row r="598" spans="1:12" s="48" customFormat="1" ht="25.5">
      <c r="A598" s="124"/>
      <c r="B598" s="155"/>
      <c r="C598" s="44" t="s">
        <v>226</v>
      </c>
      <c r="D598" s="45">
        <v>4600</v>
      </c>
      <c r="E598" s="46">
        <f>'Wykonanie 8 2025'!I1312+'Wykonanie 8 2025'!I1328</f>
        <v>4600</v>
      </c>
      <c r="F598" s="46">
        <v>0</v>
      </c>
      <c r="G598" s="46">
        <v>0</v>
      </c>
      <c r="H598" s="46">
        <v>0</v>
      </c>
      <c r="I598" s="46">
        <v>4600</v>
      </c>
      <c r="J598" s="46">
        <v>5000</v>
      </c>
      <c r="K598" s="58"/>
    </row>
    <row r="599" spans="1:12" s="48" customFormat="1" ht="12.75">
      <c r="A599" s="110"/>
      <c r="B599" s="156"/>
      <c r="C599" s="120" t="s">
        <v>195</v>
      </c>
      <c r="D599" s="121">
        <v>5209798</v>
      </c>
      <c r="E599" s="122">
        <f t="shared" ref="E599:J599" si="187">E600+E601+E602</f>
        <v>5717894</v>
      </c>
      <c r="F599" s="122">
        <f t="shared" si="187"/>
        <v>5770183.5899999999</v>
      </c>
      <c r="G599" s="122">
        <f t="shared" si="187"/>
        <v>0</v>
      </c>
      <c r="H599" s="122">
        <f t="shared" si="187"/>
        <v>0</v>
      </c>
      <c r="I599" s="122">
        <f t="shared" si="187"/>
        <v>5983890</v>
      </c>
      <c r="J599" s="122">
        <f t="shared" si="187"/>
        <v>5983860</v>
      </c>
      <c r="K599" s="58"/>
    </row>
    <row r="600" spans="1:12" s="48" customFormat="1" ht="19.5" customHeight="1">
      <c r="A600" s="110"/>
      <c r="B600" s="156"/>
      <c r="C600" s="56" t="s">
        <v>230</v>
      </c>
      <c r="D600" s="45">
        <v>3844654</v>
      </c>
      <c r="E600" s="57">
        <f>'Wykonanie 8 2025'!I1298+'Wykonanie 8 2025'!I1300+'Wykonanie 8 2025'!I1302+'Wykonanie 8 2025'!I1303+'Wykonanie 8 2025'!I1305+'Wykonanie 8 2025'!I1330</f>
        <v>4370659</v>
      </c>
      <c r="F600" s="57">
        <v>4312136.47</v>
      </c>
      <c r="G600" s="57">
        <v>0</v>
      </c>
      <c r="H600" s="57">
        <v>0</v>
      </c>
      <c r="I600" s="57">
        <v>4498190</v>
      </c>
      <c r="J600" s="57">
        <v>4498190</v>
      </c>
      <c r="K600" s="58"/>
      <c r="L600" s="58"/>
    </row>
    <row r="601" spans="1:12" s="48" customFormat="1" ht="12.75">
      <c r="A601" s="110"/>
      <c r="B601" s="156"/>
      <c r="C601" s="134" t="s">
        <v>263</v>
      </c>
      <c r="D601" s="45">
        <v>54200</v>
      </c>
      <c r="E601" s="57">
        <f>'Wykonanie 8 2025'!I1293+'Wykonanie 8 2025'!I1295</f>
        <v>54200</v>
      </c>
      <c r="F601" s="57">
        <v>61820</v>
      </c>
      <c r="G601" s="57">
        <v>0</v>
      </c>
      <c r="H601" s="57">
        <v>0</v>
      </c>
      <c r="I601" s="57">
        <v>61670</v>
      </c>
      <c r="J601" s="57">
        <v>61670</v>
      </c>
      <c r="K601" s="58"/>
    </row>
    <row r="602" spans="1:12" s="48" customFormat="1" ht="25.5">
      <c r="A602" s="110"/>
      <c r="B602" s="156"/>
      <c r="C602" s="56" t="s">
        <v>226</v>
      </c>
      <c r="D602" s="45">
        <v>1310944</v>
      </c>
      <c r="E602" s="57">
        <f>'Wykonanie 8 2025'!I1306+'Wykonanie 8 2025'!I1309+'Wykonanie 8 2025'!I1311+'Wykonanie 8 2025'!I1314+'Wykonanie 8 2025'!I1315+'Wykonanie 8 2025'!I1316+'Wykonanie 8 2025'!I1317+'Wykonanie 8 2025'!I1320+'Wykonanie 8 2025'!I1323+'Wykonanie 8 2025'!I1324+'Wykonanie 8 2025'!I1326+'Wykonanie 8 2025'!I1327+'Wykonanie 8 2025'!I1329</f>
        <v>1293035</v>
      </c>
      <c r="F602" s="57">
        <v>1396227.12</v>
      </c>
      <c r="G602" s="57">
        <v>0</v>
      </c>
      <c r="H602" s="57">
        <v>0</v>
      </c>
      <c r="I602" s="57">
        <v>1424030</v>
      </c>
      <c r="J602" s="57">
        <v>1424000</v>
      </c>
      <c r="K602" s="58"/>
    </row>
    <row r="603" spans="1:12" s="48" customFormat="1" ht="12.75">
      <c r="A603" s="110"/>
      <c r="B603" s="156"/>
      <c r="C603" s="120" t="s">
        <v>217</v>
      </c>
      <c r="D603" s="121">
        <v>213460</v>
      </c>
      <c r="E603" s="121">
        <f t="shared" ref="E603:J603" si="188">E604+E605+E606</f>
        <v>213460</v>
      </c>
      <c r="F603" s="121">
        <f t="shared" si="188"/>
        <v>213460</v>
      </c>
      <c r="G603" s="121">
        <f t="shared" si="188"/>
        <v>123531</v>
      </c>
      <c r="H603" s="121">
        <f t="shared" si="188"/>
        <v>0</v>
      </c>
      <c r="I603" s="121">
        <f t="shared" si="188"/>
        <v>256009</v>
      </c>
      <c r="J603" s="121">
        <f t="shared" si="188"/>
        <v>256000</v>
      </c>
      <c r="K603" s="58"/>
    </row>
    <row r="604" spans="1:12" s="40" customFormat="1" ht="16.5" customHeight="1">
      <c r="A604" s="110"/>
      <c r="B604" s="156"/>
      <c r="C604" s="56" t="s">
        <v>230</v>
      </c>
      <c r="D604" s="45">
        <v>0</v>
      </c>
      <c r="E604" s="57">
        <v>0</v>
      </c>
      <c r="F604" s="57">
        <v>0</v>
      </c>
      <c r="G604" s="57">
        <v>0</v>
      </c>
      <c r="H604" s="57">
        <v>0</v>
      </c>
      <c r="I604" s="57">
        <v>0</v>
      </c>
      <c r="J604" s="57">
        <v>0</v>
      </c>
      <c r="K604" s="61"/>
    </row>
    <row r="605" spans="1:12" s="40" customFormat="1" ht="12.75">
      <c r="A605" s="110"/>
      <c r="B605" s="156"/>
      <c r="C605" s="134" t="s">
        <v>263</v>
      </c>
      <c r="D605" s="45">
        <v>213460</v>
      </c>
      <c r="E605" s="57">
        <f>'Wykonanie 8 2025'!I1294</f>
        <v>213460</v>
      </c>
      <c r="F605" s="57">
        <v>213460</v>
      </c>
      <c r="G605" s="57">
        <v>123531</v>
      </c>
      <c r="H605" s="57">
        <v>0</v>
      </c>
      <c r="I605" s="57">
        <v>256009</v>
      </c>
      <c r="J605" s="57">
        <v>256000</v>
      </c>
      <c r="K605" s="61"/>
    </row>
    <row r="606" spans="1:12" s="48" customFormat="1" ht="25.5">
      <c r="A606" s="110"/>
      <c r="B606" s="155"/>
      <c r="C606" s="56" t="s">
        <v>226</v>
      </c>
      <c r="D606" s="45">
        <v>0</v>
      </c>
      <c r="E606" s="57">
        <v>0</v>
      </c>
      <c r="F606" s="57">
        <v>0</v>
      </c>
      <c r="G606" s="57">
        <v>0</v>
      </c>
      <c r="H606" s="57">
        <v>0</v>
      </c>
      <c r="I606" s="57">
        <v>0</v>
      </c>
      <c r="J606" s="57">
        <v>0</v>
      </c>
      <c r="K606" s="58"/>
    </row>
    <row r="607" spans="1:12" s="48" customFormat="1" ht="12.75">
      <c r="A607" s="110"/>
      <c r="B607" s="365"/>
      <c r="C607" s="120" t="s">
        <v>265</v>
      </c>
      <c r="D607" s="121">
        <v>0</v>
      </c>
      <c r="E607" s="121">
        <f t="shared" ref="E607:J607" si="189">E608+E609+E610</f>
        <v>215770</v>
      </c>
      <c r="F607" s="121">
        <f t="shared" si="189"/>
        <v>0</v>
      </c>
      <c r="G607" s="121">
        <f t="shared" si="189"/>
        <v>0</v>
      </c>
      <c r="H607" s="121">
        <f t="shared" si="189"/>
        <v>0</v>
      </c>
      <c r="I607" s="121">
        <f t="shared" si="189"/>
        <v>0</v>
      </c>
      <c r="J607" s="121">
        <f t="shared" si="189"/>
        <v>0</v>
      </c>
      <c r="K607" s="58"/>
    </row>
    <row r="608" spans="1:12" s="48" customFormat="1" ht="14.25" customHeight="1">
      <c r="A608" s="110"/>
      <c r="B608" s="365"/>
      <c r="C608" s="56" t="s">
        <v>230</v>
      </c>
      <c r="D608" s="45">
        <v>0</v>
      </c>
      <c r="E608" s="57">
        <f>'Wykonanie 8 2025'!I1331+'Wykonanie 8 2025'!I1332</f>
        <v>181997</v>
      </c>
      <c r="F608" s="57"/>
      <c r="G608" s="57"/>
      <c r="H608" s="57"/>
      <c r="I608" s="57"/>
      <c r="J608" s="57"/>
      <c r="K608" s="58"/>
    </row>
    <row r="609" spans="1:11" s="48" customFormat="1" ht="12.75">
      <c r="A609" s="110"/>
      <c r="B609" s="365"/>
      <c r="C609" s="134" t="s">
        <v>263</v>
      </c>
      <c r="D609" s="45">
        <v>0</v>
      </c>
      <c r="E609" s="57">
        <f>'Wykonanie 8 2025'!I1297</f>
        <v>2050</v>
      </c>
      <c r="F609" s="57"/>
      <c r="G609" s="57"/>
      <c r="H609" s="57"/>
      <c r="I609" s="57"/>
      <c r="J609" s="57"/>
      <c r="K609" s="58"/>
    </row>
    <row r="610" spans="1:11" s="48" customFormat="1" ht="25.5">
      <c r="A610" s="110"/>
      <c r="B610" s="365"/>
      <c r="C610" s="56" t="s">
        <v>226</v>
      </c>
      <c r="D610" s="45">
        <v>0</v>
      </c>
      <c r="E610" s="57">
        <f>'Wykonanie 8 2025'!I1319+'Wykonanie 8 2025'!I1322+'Wykonanie 8 2025'!I1333</f>
        <v>31723</v>
      </c>
      <c r="F610" s="57"/>
      <c r="G610" s="57"/>
      <c r="H610" s="57"/>
      <c r="I610" s="57"/>
      <c r="J610" s="57"/>
      <c r="K610" s="58"/>
    </row>
    <row r="611" spans="1:11" s="48" customFormat="1">
      <c r="A611" s="100"/>
      <c r="B611" s="183" t="s">
        <v>301</v>
      </c>
      <c r="C611" s="38" t="s">
        <v>45</v>
      </c>
      <c r="D611" s="39">
        <v>15000</v>
      </c>
      <c r="E611" s="39">
        <f t="shared" ref="E611:J611" si="190">E612+E618</f>
        <v>15000</v>
      </c>
      <c r="F611" s="39">
        <f t="shared" si="190"/>
        <v>0</v>
      </c>
      <c r="G611" s="39">
        <f t="shared" si="190"/>
        <v>0</v>
      </c>
      <c r="H611" s="39">
        <f t="shared" si="190"/>
        <v>0</v>
      </c>
      <c r="I611" s="39">
        <f t="shared" si="190"/>
        <v>15000</v>
      </c>
      <c r="J611" s="39">
        <f t="shared" si="190"/>
        <v>15000</v>
      </c>
      <c r="K611" s="58"/>
    </row>
    <row r="612" spans="1:11" s="48" customFormat="1" ht="12.75">
      <c r="A612" s="69"/>
      <c r="B612" s="631"/>
      <c r="C612" s="120" t="s">
        <v>217</v>
      </c>
      <c r="D612" s="121">
        <v>15000</v>
      </c>
      <c r="E612" s="121">
        <f t="shared" ref="E612:J612" si="191">E613+E614</f>
        <v>15000</v>
      </c>
      <c r="F612" s="121">
        <f t="shared" si="191"/>
        <v>0</v>
      </c>
      <c r="G612" s="121">
        <f t="shared" si="191"/>
        <v>0</v>
      </c>
      <c r="H612" s="121">
        <f t="shared" si="191"/>
        <v>0</v>
      </c>
      <c r="I612" s="121">
        <f t="shared" si="191"/>
        <v>15000</v>
      </c>
      <c r="J612" s="121">
        <f t="shared" si="191"/>
        <v>15000</v>
      </c>
      <c r="K612" s="58"/>
    </row>
    <row r="613" spans="1:11" s="48" customFormat="1" ht="25.5">
      <c r="A613" s="69"/>
      <c r="B613" s="631"/>
      <c r="C613" s="44" t="s">
        <v>226</v>
      </c>
      <c r="D613" s="45">
        <v>15000</v>
      </c>
      <c r="E613" s="46">
        <f>'Wykonanie 8 2025'!I1335+'Wykonanie 8 2025'!I1336</f>
        <v>15000</v>
      </c>
      <c r="F613" s="46">
        <v>0</v>
      </c>
      <c r="G613" s="46">
        <v>0</v>
      </c>
      <c r="H613" s="46">
        <v>0</v>
      </c>
      <c r="I613" s="46">
        <v>15000</v>
      </c>
      <c r="J613" s="46">
        <f>I613</f>
        <v>15000</v>
      </c>
      <c r="K613" s="58"/>
    </row>
    <row r="614" spans="1:11" s="48" customFormat="1" ht="22.5">
      <c r="A614" s="69"/>
      <c r="B614" s="631"/>
      <c r="C614" s="144" t="s">
        <v>278</v>
      </c>
      <c r="D614" s="45">
        <v>0</v>
      </c>
      <c r="E614" s="45">
        <f t="shared" ref="E614:J614" si="192">E615+E616+E617</f>
        <v>0</v>
      </c>
      <c r="F614" s="45">
        <f t="shared" si="192"/>
        <v>0</v>
      </c>
      <c r="G614" s="45">
        <f t="shared" si="192"/>
        <v>0</v>
      </c>
      <c r="H614" s="45">
        <f t="shared" si="192"/>
        <v>0</v>
      </c>
      <c r="I614" s="45">
        <f t="shared" si="192"/>
        <v>0</v>
      </c>
      <c r="J614" s="45">
        <f t="shared" si="192"/>
        <v>0</v>
      </c>
      <c r="K614" s="58"/>
    </row>
    <row r="615" spans="1:11" s="48" customFormat="1" ht="22.5">
      <c r="A615" s="69"/>
      <c r="B615" s="631"/>
      <c r="C615" s="185" t="s">
        <v>672</v>
      </c>
      <c r="D615" s="186">
        <v>0</v>
      </c>
      <c r="E615" s="186">
        <v>0</v>
      </c>
      <c r="F615" s="186">
        <v>0</v>
      </c>
      <c r="G615" s="186">
        <v>0</v>
      </c>
      <c r="H615" s="186">
        <v>0</v>
      </c>
      <c r="I615" s="186">
        <v>0</v>
      </c>
      <c r="J615" s="186">
        <v>0</v>
      </c>
      <c r="K615" s="58"/>
    </row>
    <row r="616" spans="1:11" s="48" customFormat="1" ht="12.75">
      <c r="A616" s="69"/>
      <c r="B616" s="631"/>
      <c r="C616" s="185"/>
      <c r="D616" s="186"/>
      <c r="E616" s="186"/>
      <c r="F616" s="186"/>
      <c r="G616" s="186"/>
      <c r="H616" s="186"/>
      <c r="I616" s="186"/>
      <c r="J616" s="186"/>
      <c r="K616" s="58"/>
    </row>
    <row r="617" spans="1:11" s="48" customFormat="1" ht="12.75">
      <c r="A617" s="69"/>
      <c r="B617" s="631"/>
      <c r="C617" s="186"/>
      <c r="D617" s="186"/>
      <c r="E617" s="186"/>
      <c r="F617" s="186"/>
      <c r="G617" s="186"/>
      <c r="H617" s="186"/>
      <c r="I617" s="186"/>
      <c r="J617" s="186"/>
      <c r="K617" s="58"/>
    </row>
    <row r="618" spans="1:11" s="48" customFormat="1" ht="12.75">
      <c r="A618" s="69"/>
      <c r="B618" s="631"/>
      <c r="C618" s="42" t="s">
        <v>231</v>
      </c>
      <c r="D618" s="43">
        <v>0</v>
      </c>
      <c r="E618" s="43">
        <f>E619+E620+E621+E622</f>
        <v>0</v>
      </c>
      <c r="F618" s="43">
        <f t="shared" ref="F618:J618" si="193">F619+F620+F621+F622</f>
        <v>0</v>
      </c>
      <c r="G618" s="43">
        <f t="shared" si="193"/>
        <v>0</v>
      </c>
      <c r="H618" s="43">
        <f t="shared" si="193"/>
        <v>0</v>
      </c>
      <c r="I618" s="43">
        <f t="shared" si="193"/>
        <v>0</v>
      </c>
      <c r="J618" s="43">
        <f t="shared" si="193"/>
        <v>0</v>
      </c>
      <c r="K618" s="58"/>
    </row>
    <row r="619" spans="1:11" s="48" customFormat="1" ht="12.75">
      <c r="A619" s="69"/>
      <c r="B619" s="631"/>
      <c r="C619" s="184" t="s">
        <v>268</v>
      </c>
      <c r="D619" s="45">
        <v>0</v>
      </c>
      <c r="E619" s="46">
        <v>0</v>
      </c>
      <c r="F619" s="46">
        <v>0</v>
      </c>
      <c r="G619" s="46">
        <v>0</v>
      </c>
      <c r="H619" s="46">
        <v>0</v>
      </c>
      <c r="I619" s="46">
        <v>0</v>
      </c>
      <c r="J619" s="46">
        <v>0</v>
      </c>
      <c r="K619" s="58"/>
    </row>
    <row r="620" spans="1:11" s="48" customFormat="1" ht="12.75">
      <c r="A620" s="69"/>
      <c r="B620" s="631"/>
      <c r="C620" s="131" t="s">
        <v>263</v>
      </c>
      <c r="D620" s="45">
        <v>0</v>
      </c>
      <c r="E620" s="46">
        <v>0</v>
      </c>
      <c r="F620" s="46">
        <v>0</v>
      </c>
      <c r="G620" s="46">
        <v>0</v>
      </c>
      <c r="H620" s="46">
        <v>0</v>
      </c>
      <c r="I620" s="46">
        <v>0</v>
      </c>
      <c r="J620" s="46">
        <v>0</v>
      </c>
      <c r="K620" s="58"/>
    </row>
    <row r="621" spans="1:11" s="48" customFormat="1" ht="16.5" customHeight="1">
      <c r="A621" s="69"/>
      <c r="B621" s="631"/>
      <c r="C621" s="44" t="s">
        <v>230</v>
      </c>
      <c r="D621" s="45">
        <v>0</v>
      </c>
      <c r="E621" s="46">
        <v>0</v>
      </c>
      <c r="F621" s="46">
        <v>0</v>
      </c>
      <c r="G621" s="46">
        <v>0</v>
      </c>
      <c r="H621" s="46">
        <v>0</v>
      </c>
      <c r="I621" s="46">
        <v>0</v>
      </c>
      <c r="J621" s="46">
        <v>0</v>
      </c>
      <c r="K621" s="58"/>
    </row>
    <row r="622" spans="1:11" s="48" customFormat="1" ht="25.5">
      <c r="A622" s="69"/>
      <c r="B622" s="631"/>
      <c r="C622" s="44" t="s">
        <v>226</v>
      </c>
      <c r="D622" s="45">
        <v>0</v>
      </c>
      <c r="E622" s="46">
        <v>0</v>
      </c>
      <c r="F622" s="46">
        <v>0</v>
      </c>
      <c r="G622" s="46">
        <v>0</v>
      </c>
      <c r="H622" s="46">
        <v>0</v>
      </c>
      <c r="I622" s="46">
        <v>0</v>
      </c>
      <c r="J622" s="46">
        <v>0</v>
      </c>
      <c r="K622" s="58"/>
    </row>
    <row r="623" spans="1:11" s="18" customFormat="1" ht="25.5">
      <c r="A623" s="33" t="s">
        <v>302</v>
      </c>
      <c r="B623" s="34"/>
      <c r="C623" s="173" t="s">
        <v>303</v>
      </c>
      <c r="D623" s="36">
        <v>11000</v>
      </c>
      <c r="E623" s="36">
        <f>E624</f>
        <v>11000</v>
      </c>
      <c r="F623" s="36">
        <f t="shared" ref="F623:J623" si="194">F624</f>
        <v>5000</v>
      </c>
      <c r="G623" s="36">
        <f t="shared" si="194"/>
        <v>0</v>
      </c>
      <c r="H623" s="36">
        <f t="shared" si="194"/>
        <v>0</v>
      </c>
      <c r="I623" s="36">
        <f t="shared" si="194"/>
        <v>36000</v>
      </c>
      <c r="J623" s="36">
        <f t="shared" si="194"/>
        <v>11000</v>
      </c>
      <c r="K623" s="28"/>
    </row>
    <row r="624" spans="1:11" s="18" customFormat="1" ht="12.75">
      <c r="A624" s="187"/>
      <c r="B624" s="37" t="s">
        <v>306</v>
      </c>
      <c r="C624" s="174" t="s">
        <v>45</v>
      </c>
      <c r="D624" s="188">
        <v>11000</v>
      </c>
      <c r="E624" s="188">
        <f t="shared" ref="E624:J624" si="195">E625</f>
        <v>11000</v>
      </c>
      <c r="F624" s="188">
        <f t="shared" si="195"/>
        <v>5000</v>
      </c>
      <c r="G624" s="188">
        <f t="shared" si="195"/>
        <v>0</v>
      </c>
      <c r="H624" s="188">
        <f t="shared" si="195"/>
        <v>0</v>
      </c>
      <c r="I624" s="188">
        <f t="shared" si="195"/>
        <v>36000</v>
      </c>
      <c r="J624" s="188">
        <f t="shared" si="195"/>
        <v>11000</v>
      </c>
      <c r="K624" s="28"/>
    </row>
    <row r="625" spans="1:11" s="48" customFormat="1" ht="27" customHeight="1">
      <c r="A625" s="163"/>
      <c r="B625" s="633"/>
      <c r="C625" s="139" t="s">
        <v>304</v>
      </c>
      <c r="D625" s="43">
        <v>11000</v>
      </c>
      <c r="E625" s="43">
        <f t="shared" ref="E625:J625" si="196">SUM(E626:E629)</f>
        <v>11000</v>
      </c>
      <c r="F625" s="43">
        <f t="shared" si="196"/>
        <v>5000</v>
      </c>
      <c r="G625" s="43">
        <f t="shared" si="196"/>
        <v>0</v>
      </c>
      <c r="H625" s="43">
        <f t="shared" si="196"/>
        <v>0</v>
      </c>
      <c r="I625" s="43">
        <f t="shared" si="196"/>
        <v>36000</v>
      </c>
      <c r="J625" s="43">
        <f t="shared" si="196"/>
        <v>11000</v>
      </c>
      <c r="K625" s="58"/>
    </row>
    <row r="626" spans="1:11" s="40" customFormat="1" ht="17.25" customHeight="1">
      <c r="A626" s="69"/>
      <c r="B626" s="632"/>
      <c r="C626" s="172" t="s">
        <v>230</v>
      </c>
      <c r="D626" s="189">
        <v>0</v>
      </c>
      <c r="E626" s="189">
        <v>0</v>
      </c>
      <c r="F626" s="181">
        <v>0</v>
      </c>
      <c r="G626" s="181">
        <v>0</v>
      </c>
      <c r="H626" s="181">
        <v>0</v>
      </c>
      <c r="I626" s="181"/>
      <c r="J626" s="181">
        <v>0</v>
      </c>
      <c r="K626" s="61"/>
    </row>
    <row r="627" spans="1:11" s="40" customFormat="1" ht="12.75">
      <c r="A627" s="69"/>
      <c r="B627" s="632"/>
      <c r="C627" s="131" t="s">
        <v>263</v>
      </c>
      <c r="D627" s="189">
        <v>1000</v>
      </c>
      <c r="E627" s="189">
        <f>'Wykonanie 8 2025'!I1338</f>
        <v>1000</v>
      </c>
      <c r="F627" s="181">
        <v>0</v>
      </c>
      <c r="G627" s="181">
        <v>0</v>
      </c>
      <c r="H627" s="181">
        <v>0</v>
      </c>
      <c r="I627" s="181">
        <v>1000</v>
      </c>
      <c r="J627" s="181">
        <v>1000</v>
      </c>
      <c r="K627" s="61"/>
    </row>
    <row r="628" spans="1:11" s="40" customFormat="1" ht="12.75">
      <c r="A628" s="69"/>
      <c r="B628" s="632"/>
      <c r="C628" s="172" t="s">
        <v>305</v>
      </c>
      <c r="D628" s="189">
        <v>0</v>
      </c>
      <c r="E628" s="189">
        <v>0</v>
      </c>
      <c r="F628" s="181">
        <v>0</v>
      </c>
      <c r="G628" s="181">
        <v>0</v>
      </c>
      <c r="H628" s="181">
        <v>0</v>
      </c>
      <c r="I628" s="181">
        <v>0</v>
      </c>
      <c r="J628" s="181">
        <v>0</v>
      </c>
      <c r="K628" s="61"/>
    </row>
    <row r="629" spans="1:11" s="40" customFormat="1" ht="25.5">
      <c r="A629" s="69"/>
      <c r="B629" s="636"/>
      <c r="C629" s="172" t="s">
        <v>226</v>
      </c>
      <c r="D629" s="189">
        <v>10000</v>
      </c>
      <c r="E629" s="189">
        <f>'Wykonanie 8 2025'!I1339+'Wykonanie 8 2025'!I1340</f>
        <v>10000</v>
      </c>
      <c r="F629" s="181">
        <v>5000</v>
      </c>
      <c r="G629" s="181">
        <v>0</v>
      </c>
      <c r="H629" s="181">
        <v>0</v>
      </c>
      <c r="I629" s="181">
        <f>25000+10000</f>
        <v>35000</v>
      </c>
      <c r="J629" s="181">
        <v>10000</v>
      </c>
      <c r="K629" s="61"/>
    </row>
    <row r="630" spans="1:11" s="40" customFormat="1" ht="25.5">
      <c r="A630" s="190">
        <v>921</v>
      </c>
      <c r="B630" s="34"/>
      <c r="C630" s="173" t="s">
        <v>307</v>
      </c>
      <c r="D630" s="36">
        <v>65000</v>
      </c>
      <c r="E630" s="36">
        <f t="shared" ref="E630:J630" si="197">E631+E634+E637</f>
        <v>65000</v>
      </c>
      <c r="F630" s="36">
        <f t="shared" si="197"/>
        <v>65000</v>
      </c>
      <c r="G630" s="36">
        <f t="shared" si="197"/>
        <v>0</v>
      </c>
      <c r="H630" s="36">
        <f t="shared" si="197"/>
        <v>0</v>
      </c>
      <c r="I630" s="36">
        <f t="shared" si="197"/>
        <v>67000</v>
      </c>
      <c r="J630" s="36">
        <f t="shared" si="197"/>
        <v>67000</v>
      </c>
      <c r="K630" s="61"/>
    </row>
    <row r="631" spans="1:11" s="48" customFormat="1">
      <c r="A631" s="68"/>
      <c r="B631" s="37">
        <v>92116</v>
      </c>
      <c r="C631" s="174" t="s">
        <v>308</v>
      </c>
      <c r="D631" s="39">
        <v>65000</v>
      </c>
      <c r="E631" s="39">
        <f t="shared" ref="E631:J632" si="198">E632</f>
        <v>65000</v>
      </c>
      <c r="F631" s="39">
        <f t="shared" si="198"/>
        <v>65000</v>
      </c>
      <c r="G631" s="39">
        <f t="shared" si="198"/>
        <v>0</v>
      </c>
      <c r="H631" s="39">
        <f t="shared" si="198"/>
        <v>0</v>
      </c>
      <c r="I631" s="39">
        <f>I632</f>
        <v>67000</v>
      </c>
      <c r="J631" s="39">
        <f>J632</f>
        <v>67000</v>
      </c>
      <c r="K631" s="58"/>
    </row>
    <row r="632" spans="1:11" s="40" customFormat="1">
      <c r="A632" s="163"/>
      <c r="B632" s="34"/>
      <c r="C632" s="139" t="s">
        <v>246</v>
      </c>
      <c r="D632" s="43">
        <v>65000</v>
      </c>
      <c r="E632" s="43">
        <f t="shared" si="198"/>
        <v>65000</v>
      </c>
      <c r="F632" s="43">
        <f t="shared" si="198"/>
        <v>65000</v>
      </c>
      <c r="G632" s="43">
        <f t="shared" si="198"/>
        <v>0</v>
      </c>
      <c r="H632" s="43">
        <f t="shared" si="198"/>
        <v>0</v>
      </c>
      <c r="I632" s="43">
        <f t="shared" si="198"/>
        <v>67000</v>
      </c>
      <c r="J632" s="43">
        <f t="shared" si="198"/>
        <v>67000</v>
      </c>
      <c r="K632" s="61"/>
    </row>
    <row r="633" spans="1:11" s="40" customFormat="1" ht="12.75">
      <c r="A633" s="69"/>
      <c r="B633" s="113"/>
      <c r="C633" s="191" t="s">
        <v>268</v>
      </c>
      <c r="D633" s="118">
        <v>65000</v>
      </c>
      <c r="E633" s="94">
        <f>'Wykonanie 8 2025'!I1341</f>
        <v>65000</v>
      </c>
      <c r="F633" s="94">
        <v>65000</v>
      </c>
      <c r="G633" s="94">
        <v>0</v>
      </c>
      <c r="H633" s="94">
        <v>0</v>
      </c>
      <c r="I633" s="94">
        <v>67000</v>
      </c>
      <c r="J633" s="94">
        <v>67000</v>
      </c>
      <c r="K633" s="61"/>
    </row>
    <row r="634" spans="1:11" s="40" customFormat="1" ht="25.5">
      <c r="A634" s="68"/>
      <c r="B634" s="37">
        <v>92120</v>
      </c>
      <c r="C634" s="174" t="s">
        <v>309</v>
      </c>
      <c r="D634" s="39">
        <v>0</v>
      </c>
      <c r="E634" s="39">
        <f t="shared" ref="E634:J635" si="199">E635</f>
        <v>0</v>
      </c>
      <c r="F634" s="39">
        <f t="shared" si="199"/>
        <v>0</v>
      </c>
      <c r="G634" s="39">
        <f t="shared" si="199"/>
        <v>0</v>
      </c>
      <c r="H634" s="39">
        <f t="shared" si="199"/>
        <v>0</v>
      </c>
      <c r="I634" s="39">
        <f>I635</f>
        <v>0</v>
      </c>
      <c r="J634" s="39">
        <f>J635</f>
        <v>0</v>
      </c>
      <c r="K634" s="61"/>
    </row>
    <row r="635" spans="1:11" s="40" customFormat="1">
      <c r="A635" s="163"/>
      <c r="B635" s="34"/>
      <c r="C635" s="139" t="s">
        <v>310</v>
      </c>
      <c r="D635" s="43">
        <v>0</v>
      </c>
      <c r="E635" s="43">
        <f t="shared" si="199"/>
        <v>0</v>
      </c>
      <c r="F635" s="43">
        <f t="shared" si="199"/>
        <v>0</v>
      </c>
      <c r="G635" s="43">
        <f t="shared" si="199"/>
        <v>0</v>
      </c>
      <c r="H635" s="43">
        <f t="shared" si="199"/>
        <v>0</v>
      </c>
      <c r="I635" s="43">
        <f t="shared" si="199"/>
        <v>0</v>
      </c>
      <c r="J635" s="43">
        <f t="shared" si="199"/>
        <v>0</v>
      </c>
      <c r="K635" s="61"/>
    </row>
    <row r="636" spans="1:11" s="40" customFormat="1" ht="12.75">
      <c r="A636" s="69"/>
      <c r="B636" s="113"/>
      <c r="C636" s="180" t="s">
        <v>268</v>
      </c>
      <c r="D636" s="45">
        <v>0</v>
      </c>
      <c r="E636" s="175">
        <v>0</v>
      </c>
      <c r="F636" s="175">
        <v>0</v>
      </c>
      <c r="G636" s="175">
        <v>0</v>
      </c>
      <c r="H636" s="175">
        <v>0</v>
      </c>
      <c r="I636" s="175">
        <v>0</v>
      </c>
      <c r="J636" s="175">
        <v>0</v>
      </c>
      <c r="K636" s="61"/>
    </row>
    <row r="637" spans="1:11" s="18" customFormat="1">
      <c r="A637" s="68"/>
      <c r="B637" s="37">
        <v>92195</v>
      </c>
      <c r="C637" s="174" t="s">
        <v>45</v>
      </c>
      <c r="D637" s="39">
        <v>0</v>
      </c>
      <c r="E637" s="39">
        <f t="shared" ref="E637:J637" si="200">E638+E640</f>
        <v>0</v>
      </c>
      <c r="F637" s="39">
        <f t="shared" si="200"/>
        <v>0</v>
      </c>
      <c r="G637" s="39">
        <f t="shared" si="200"/>
        <v>0</v>
      </c>
      <c r="H637" s="39">
        <f t="shared" si="200"/>
        <v>0</v>
      </c>
      <c r="I637" s="39">
        <f t="shared" si="200"/>
        <v>0</v>
      </c>
      <c r="J637" s="39">
        <f t="shared" si="200"/>
        <v>0</v>
      </c>
      <c r="K637" s="28"/>
    </row>
    <row r="638" spans="1:11" s="40" customFormat="1">
      <c r="A638" s="68"/>
      <c r="B638" s="633"/>
      <c r="C638" s="42" t="s">
        <v>259</v>
      </c>
      <c r="D638" s="43">
        <v>0</v>
      </c>
      <c r="E638" s="43">
        <f t="shared" ref="E638:J638" si="201">E639</f>
        <v>0</v>
      </c>
      <c r="F638" s="43">
        <f t="shared" si="201"/>
        <v>0</v>
      </c>
      <c r="G638" s="43">
        <f t="shared" si="201"/>
        <v>0</v>
      </c>
      <c r="H638" s="43">
        <f t="shared" si="201"/>
        <v>0</v>
      </c>
      <c r="I638" s="43">
        <f t="shared" si="201"/>
        <v>0</v>
      </c>
      <c r="J638" s="43">
        <f t="shared" si="201"/>
        <v>0</v>
      </c>
      <c r="K638" s="61"/>
    </row>
    <row r="639" spans="1:11" s="40" customFormat="1" ht="25.5">
      <c r="A639" s="68"/>
      <c r="B639" s="632"/>
      <c r="C639" s="172" t="s">
        <v>226</v>
      </c>
      <c r="D639" s="118">
        <v>0</v>
      </c>
      <c r="E639" s="175">
        <v>0</v>
      </c>
      <c r="F639" s="175">
        <v>0</v>
      </c>
      <c r="G639" s="175">
        <v>0</v>
      </c>
      <c r="H639" s="175">
        <v>0</v>
      </c>
      <c r="I639" s="175">
        <v>0</v>
      </c>
      <c r="J639" s="175">
        <v>0</v>
      </c>
      <c r="K639" s="61"/>
    </row>
    <row r="640" spans="1:11" s="48" customFormat="1">
      <c r="A640" s="163"/>
      <c r="B640" s="632"/>
      <c r="C640" s="42" t="s">
        <v>232</v>
      </c>
      <c r="D640" s="43">
        <v>0</v>
      </c>
      <c r="E640" s="43">
        <f t="shared" ref="E640:J640" si="202">E641</f>
        <v>0</v>
      </c>
      <c r="F640" s="43">
        <f t="shared" si="202"/>
        <v>0</v>
      </c>
      <c r="G640" s="43">
        <f t="shared" si="202"/>
        <v>0</v>
      </c>
      <c r="H640" s="43">
        <f t="shared" si="202"/>
        <v>0</v>
      </c>
      <c r="I640" s="43">
        <f t="shared" si="202"/>
        <v>0</v>
      </c>
      <c r="J640" s="43">
        <f t="shared" si="202"/>
        <v>0</v>
      </c>
      <c r="K640" s="58"/>
    </row>
    <row r="641" spans="1:11" s="48" customFormat="1" ht="25.5">
      <c r="A641" s="163"/>
      <c r="B641" s="636"/>
      <c r="C641" s="172" t="s">
        <v>226</v>
      </c>
      <c r="D641" s="192">
        <v>0</v>
      </c>
      <c r="E641" s="193">
        <v>0</v>
      </c>
      <c r="F641" s="193">
        <v>0</v>
      </c>
      <c r="G641" s="193">
        <v>0</v>
      </c>
      <c r="H641" s="193">
        <v>0</v>
      </c>
      <c r="I641" s="193">
        <v>0</v>
      </c>
      <c r="J641" s="193">
        <v>0</v>
      </c>
      <c r="K641" s="58"/>
    </row>
    <row r="642" spans="1:11" s="48" customFormat="1" ht="12.75">
      <c r="A642" s="33">
        <v>926</v>
      </c>
      <c r="B642" s="34"/>
      <c r="C642" s="173" t="s">
        <v>311</v>
      </c>
      <c r="D642" s="36">
        <v>3553000</v>
      </c>
      <c r="E642" s="36">
        <f t="shared" ref="E642:J642" si="203">E643+E653+E656</f>
        <v>3570500</v>
      </c>
      <c r="F642" s="36">
        <f t="shared" si="203"/>
        <v>3584455.38</v>
      </c>
      <c r="G642" s="36">
        <f t="shared" si="203"/>
        <v>0</v>
      </c>
      <c r="H642" s="36">
        <f t="shared" si="203"/>
        <v>0</v>
      </c>
      <c r="I642" s="36">
        <f t="shared" si="203"/>
        <v>4351607</v>
      </c>
      <c r="J642" s="36">
        <f t="shared" si="203"/>
        <v>3740763.15</v>
      </c>
      <c r="K642" s="58"/>
    </row>
    <row r="643" spans="1:11" s="48" customFormat="1" ht="12.75">
      <c r="A643" s="628"/>
      <c r="B643" s="37">
        <v>92601</v>
      </c>
      <c r="C643" s="174" t="s">
        <v>202</v>
      </c>
      <c r="D643" s="39">
        <v>3465000</v>
      </c>
      <c r="E643" s="39">
        <f>E644+E647+E651</f>
        <v>3482500</v>
      </c>
      <c r="F643" s="39">
        <f>F644+F647</f>
        <v>3488455.38</v>
      </c>
      <c r="G643" s="39"/>
      <c r="H643" s="39"/>
      <c r="I643" s="39">
        <f>I644+I647</f>
        <v>4301607</v>
      </c>
      <c r="J643" s="39">
        <f>J644+J647</f>
        <v>3650763.15</v>
      </c>
      <c r="K643" s="58"/>
    </row>
    <row r="644" spans="1:11" s="48" customFormat="1" ht="12.75">
      <c r="A644" s="629"/>
      <c r="B644" s="633"/>
      <c r="C644" s="139" t="s">
        <v>231</v>
      </c>
      <c r="D644" s="43">
        <v>525000</v>
      </c>
      <c r="E644" s="43">
        <f t="shared" ref="E644:J644" si="204">E645+E646</f>
        <v>425000</v>
      </c>
      <c r="F644" s="43">
        <f t="shared" si="204"/>
        <v>0</v>
      </c>
      <c r="G644" s="43">
        <f t="shared" si="204"/>
        <v>0</v>
      </c>
      <c r="H644" s="43">
        <f t="shared" si="204"/>
        <v>0</v>
      </c>
      <c r="I644" s="43">
        <f t="shared" si="204"/>
        <v>525000</v>
      </c>
      <c r="J644" s="43">
        <f t="shared" si="204"/>
        <v>454466.15</v>
      </c>
      <c r="K644" s="58"/>
    </row>
    <row r="645" spans="1:11" s="48" customFormat="1" ht="14.25" customHeight="1">
      <c r="A645" s="629"/>
      <c r="B645" s="632"/>
      <c r="C645" s="172" t="s">
        <v>230</v>
      </c>
      <c r="D645" s="45">
        <v>0</v>
      </c>
      <c r="E645" s="45">
        <v>0</v>
      </c>
      <c r="F645" s="46">
        <v>0</v>
      </c>
      <c r="G645" s="46">
        <v>0</v>
      </c>
      <c r="H645" s="46">
        <v>0</v>
      </c>
      <c r="I645" s="46">
        <v>0</v>
      </c>
      <c r="J645" s="46">
        <v>0</v>
      </c>
      <c r="K645" s="58"/>
    </row>
    <row r="646" spans="1:11" s="40" customFormat="1" ht="25.5">
      <c r="A646" s="629"/>
      <c r="B646" s="632"/>
      <c r="C646" s="172" t="s">
        <v>226</v>
      </c>
      <c r="D646" s="45">
        <v>525000</v>
      </c>
      <c r="E646" s="45">
        <f>'Wykonanie 8 2025'!I1349+'Wykonanie 8 2025'!I1361</f>
        <v>425000</v>
      </c>
      <c r="F646" s="46">
        <v>0</v>
      </c>
      <c r="G646" s="46">
        <v>0</v>
      </c>
      <c r="H646" s="46">
        <v>0</v>
      </c>
      <c r="I646" s="46">
        <v>525000</v>
      </c>
      <c r="J646" s="46">
        <v>454466.15</v>
      </c>
      <c r="K646" s="61"/>
    </row>
    <row r="647" spans="1:11" s="195" customFormat="1" ht="12.75">
      <c r="A647" s="629"/>
      <c r="B647" s="632"/>
      <c r="C647" s="132" t="s">
        <v>123</v>
      </c>
      <c r="D647" s="121">
        <v>2940000</v>
      </c>
      <c r="E647" s="122">
        <f t="shared" ref="E647:J647" si="205">E648+E649+E650</f>
        <v>3040000</v>
      </c>
      <c r="F647" s="122">
        <f t="shared" si="205"/>
        <v>3488455.38</v>
      </c>
      <c r="G647" s="122">
        <f t="shared" si="205"/>
        <v>0</v>
      </c>
      <c r="H647" s="122">
        <f t="shared" si="205"/>
        <v>0</v>
      </c>
      <c r="I647" s="122">
        <f t="shared" si="205"/>
        <v>3776607</v>
      </c>
      <c r="J647" s="122">
        <f t="shared" si="205"/>
        <v>3196297</v>
      </c>
      <c r="K647" s="201"/>
    </row>
    <row r="648" spans="1:11" s="195" customFormat="1" ht="13.5" customHeight="1">
      <c r="A648" s="629"/>
      <c r="B648" s="632"/>
      <c r="C648" s="98" t="s">
        <v>230</v>
      </c>
      <c r="D648" s="45">
        <v>1565881</v>
      </c>
      <c r="E648" s="57">
        <f>'Wykonanie 8 2025'!I1343+'Wykonanie 8 2025'!I1344+'Wykonanie 8 2025'!I1345+'Wykonanie 8 2025'!I1346+'Wykonanie 8 2025'!I1347+'Wykonanie 8 2025'!I1364</f>
        <v>1516881</v>
      </c>
      <c r="F648" s="57">
        <v>1714975.38</v>
      </c>
      <c r="G648" s="57">
        <v>0</v>
      </c>
      <c r="H648" s="57">
        <v>0</v>
      </c>
      <c r="I648" s="57">
        <v>1860240</v>
      </c>
      <c r="J648" s="57">
        <v>1622080</v>
      </c>
      <c r="K648" s="201"/>
    </row>
    <row r="649" spans="1:11" s="195" customFormat="1" ht="12.75">
      <c r="A649" s="629"/>
      <c r="B649" s="632"/>
      <c r="C649" s="177" t="s">
        <v>263</v>
      </c>
      <c r="D649" s="45">
        <v>17750</v>
      </c>
      <c r="E649" s="57">
        <f>'Wykonanie 8 2025'!I1342</f>
        <v>16139</v>
      </c>
      <c r="F649" s="57">
        <v>16139</v>
      </c>
      <c r="G649" s="57">
        <v>0</v>
      </c>
      <c r="H649" s="57">
        <v>0</v>
      </c>
      <c r="I649" s="57">
        <v>16140</v>
      </c>
      <c r="J649" s="57">
        <v>16140</v>
      </c>
      <c r="K649" s="201"/>
    </row>
    <row r="650" spans="1:11" s="195" customFormat="1" ht="25.5">
      <c r="A650" s="629"/>
      <c r="B650" s="632"/>
      <c r="C650" s="98" t="s">
        <v>226</v>
      </c>
      <c r="D650" s="45">
        <v>1356369</v>
      </c>
      <c r="E650" s="57">
        <f>'Wykonanie 8 2025'!I1348+'Wykonanie 8 2025'!I1350+'Wykonanie 8 2025'!I1351+'Wykonanie 8 2025'!I1352+'Wykonanie 8 2025'!I1353+'Wykonanie 8 2025'!I1354+'Wykonanie 8 2025'!I1355+'Wykonanie 8 2025'!I1357+'Wykonanie 8 2025'!I1358+'Wykonanie 8 2025'!I1359+'Wykonanie 8 2025'!I1360+'Wykonanie 8 2025'!I1362+'Wykonanie 8 2025'!I1363</f>
        <v>1506980</v>
      </c>
      <c r="F650" s="57">
        <v>1757341</v>
      </c>
      <c r="G650" s="57">
        <v>0</v>
      </c>
      <c r="H650" s="57">
        <v>0</v>
      </c>
      <c r="I650" s="57">
        <v>1900227</v>
      </c>
      <c r="J650" s="57">
        <v>1558077</v>
      </c>
      <c r="K650" s="201"/>
    </row>
    <row r="651" spans="1:11" s="195" customFormat="1" ht="12.75">
      <c r="A651" s="629"/>
      <c r="B651" s="53"/>
      <c r="C651" s="42" t="s">
        <v>234</v>
      </c>
      <c r="D651" s="43">
        <v>0</v>
      </c>
      <c r="E651" s="43">
        <f t="shared" ref="E651:J651" si="206">E652</f>
        <v>17500</v>
      </c>
      <c r="F651" s="43">
        <f t="shared" si="206"/>
        <v>0</v>
      </c>
      <c r="G651" s="43">
        <f t="shared" si="206"/>
        <v>0</v>
      </c>
      <c r="H651" s="43">
        <f t="shared" si="206"/>
        <v>0</v>
      </c>
      <c r="I651" s="43">
        <f t="shared" si="206"/>
        <v>0</v>
      </c>
      <c r="J651" s="43">
        <f t="shared" si="206"/>
        <v>0</v>
      </c>
      <c r="K651" s="201"/>
    </row>
    <row r="652" spans="1:11" s="195" customFormat="1" ht="25.5">
      <c r="A652" s="629"/>
      <c r="B652" s="53"/>
      <c r="C652" s="172" t="s">
        <v>226</v>
      </c>
      <c r="D652" s="192">
        <v>0</v>
      </c>
      <c r="E652" s="193">
        <f>'Wykonanie 8 2025'!I1356</f>
        <v>17500</v>
      </c>
      <c r="F652" s="193">
        <v>0</v>
      </c>
      <c r="G652" s="193">
        <v>0</v>
      </c>
      <c r="H652" s="193">
        <v>0</v>
      </c>
      <c r="I652" s="193">
        <v>0</v>
      </c>
      <c r="J652" s="193">
        <v>0</v>
      </c>
      <c r="K652" s="201"/>
    </row>
    <row r="653" spans="1:11" s="48" customFormat="1" ht="25.5">
      <c r="A653" s="629"/>
      <c r="B653" s="37" t="s">
        <v>312</v>
      </c>
      <c r="C653" s="174" t="s">
        <v>313</v>
      </c>
      <c r="D653" s="39">
        <v>50000</v>
      </c>
      <c r="E653" s="39">
        <f t="shared" ref="E653:H654" si="207">E654</f>
        <v>50000</v>
      </c>
      <c r="F653" s="39">
        <f t="shared" si="207"/>
        <v>50000</v>
      </c>
      <c r="G653" s="39">
        <f t="shared" si="207"/>
        <v>0</v>
      </c>
      <c r="H653" s="39">
        <f t="shared" si="207"/>
        <v>0</v>
      </c>
      <c r="I653" s="39">
        <f>I654</f>
        <v>50000</v>
      </c>
      <c r="J653" s="39">
        <f>J654</f>
        <v>50000</v>
      </c>
      <c r="K653" s="58"/>
    </row>
    <row r="654" spans="1:11" s="48" customFormat="1" ht="12.75">
      <c r="A654" s="629"/>
      <c r="B654" s="53"/>
      <c r="C654" s="42" t="s">
        <v>259</v>
      </c>
      <c r="D654" s="43">
        <v>50000</v>
      </c>
      <c r="E654" s="43">
        <f t="shared" si="207"/>
        <v>50000</v>
      </c>
      <c r="F654" s="43">
        <f t="shared" si="207"/>
        <v>50000</v>
      </c>
      <c r="G654" s="43">
        <f t="shared" si="207"/>
        <v>0</v>
      </c>
      <c r="H654" s="43">
        <f t="shared" si="207"/>
        <v>0</v>
      </c>
      <c r="I654" s="43">
        <f>I655</f>
        <v>50000</v>
      </c>
      <c r="J654" s="43">
        <f>J655</f>
        <v>50000</v>
      </c>
      <c r="K654" s="58"/>
    </row>
    <row r="655" spans="1:11" s="48" customFormat="1" ht="12.75">
      <c r="A655" s="629"/>
      <c r="B655" s="53"/>
      <c r="C655" s="196" t="s">
        <v>268</v>
      </c>
      <c r="D655" s="45">
        <v>50000</v>
      </c>
      <c r="E655" s="45">
        <f>'Wykonanie 8 2025'!I1366</f>
        <v>50000</v>
      </c>
      <c r="F655" s="46">
        <v>50000</v>
      </c>
      <c r="G655" s="46">
        <v>0</v>
      </c>
      <c r="H655" s="46">
        <v>0</v>
      </c>
      <c r="I655" s="46">
        <v>50000</v>
      </c>
      <c r="J655" s="46">
        <v>50000</v>
      </c>
      <c r="K655" s="58"/>
    </row>
    <row r="656" spans="1:11" s="195" customFormat="1" ht="12.75">
      <c r="A656" s="629"/>
      <c r="B656" s="37">
        <v>92695</v>
      </c>
      <c r="C656" s="174" t="s">
        <v>45</v>
      </c>
      <c r="D656" s="39">
        <v>38000</v>
      </c>
      <c r="E656" s="39">
        <f t="shared" ref="E656:J656" si="208">E657+E661+E663+E666</f>
        <v>38000</v>
      </c>
      <c r="F656" s="39">
        <f t="shared" si="208"/>
        <v>46000</v>
      </c>
      <c r="G656" s="39">
        <f t="shared" si="208"/>
        <v>0</v>
      </c>
      <c r="H656" s="39">
        <f t="shared" si="208"/>
        <v>0</v>
      </c>
      <c r="I656" s="39"/>
      <c r="J656" s="39">
        <f t="shared" si="208"/>
        <v>40000</v>
      </c>
      <c r="K656" s="201"/>
    </row>
    <row r="657" spans="1:14" s="195" customFormat="1" ht="12.75">
      <c r="A657" s="629"/>
      <c r="B657" s="649"/>
      <c r="C657" s="42" t="s">
        <v>259</v>
      </c>
      <c r="D657" s="197">
        <v>18000</v>
      </c>
      <c r="E657" s="197">
        <f t="shared" ref="E657:J657" si="209">E658+E659+E660</f>
        <v>18000</v>
      </c>
      <c r="F657" s="197">
        <f t="shared" si="209"/>
        <v>26000</v>
      </c>
      <c r="G657" s="197">
        <f t="shared" si="209"/>
        <v>0</v>
      </c>
      <c r="H657" s="197">
        <f t="shared" si="209"/>
        <v>0</v>
      </c>
      <c r="I657" s="197">
        <f t="shared" si="209"/>
        <v>30000</v>
      </c>
      <c r="J657" s="197">
        <f t="shared" si="209"/>
        <v>30000</v>
      </c>
      <c r="K657" s="201"/>
    </row>
    <row r="658" spans="1:14" s="195" customFormat="1" ht="12.75">
      <c r="A658" s="629"/>
      <c r="B658" s="649"/>
      <c r="C658" s="196" t="s">
        <v>268</v>
      </c>
      <c r="D658" s="45">
        <v>0</v>
      </c>
      <c r="E658" s="45">
        <v>0</v>
      </c>
      <c r="F658" s="46">
        <v>0</v>
      </c>
      <c r="G658" s="46">
        <v>0</v>
      </c>
      <c r="H658" s="46">
        <v>0</v>
      </c>
      <c r="I658" s="46">
        <v>0</v>
      </c>
      <c r="J658" s="46">
        <v>0</v>
      </c>
      <c r="K658" s="201"/>
    </row>
    <row r="659" spans="1:14" s="195" customFormat="1" ht="15.75" customHeight="1">
      <c r="A659" s="629"/>
      <c r="B659" s="649"/>
      <c r="C659" s="172" t="s">
        <v>230</v>
      </c>
      <c r="D659" s="45">
        <v>0</v>
      </c>
      <c r="E659" s="45">
        <v>0</v>
      </c>
      <c r="F659" s="46">
        <v>0</v>
      </c>
      <c r="G659" s="46">
        <v>0</v>
      </c>
      <c r="H659" s="46">
        <v>0</v>
      </c>
      <c r="I659" s="46">
        <v>0</v>
      </c>
      <c r="J659" s="46">
        <v>0</v>
      </c>
      <c r="K659" s="201"/>
    </row>
    <row r="660" spans="1:14" s="195" customFormat="1" ht="25.5">
      <c r="A660" s="629"/>
      <c r="B660" s="649"/>
      <c r="C660" s="172" t="s">
        <v>226</v>
      </c>
      <c r="D660" s="45">
        <v>18000</v>
      </c>
      <c r="E660" s="45">
        <f>'Wykonanie 8 2025'!I1368+'Wykonanie 8 2025'!I1370</f>
        <v>18000</v>
      </c>
      <c r="F660" s="46">
        <v>26000</v>
      </c>
      <c r="G660" s="46">
        <v>0</v>
      </c>
      <c r="H660" s="46">
        <v>0</v>
      </c>
      <c r="I660" s="46">
        <f>26000+4000</f>
        <v>30000</v>
      </c>
      <c r="J660" s="46">
        <v>30000</v>
      </c>
      <c r="K660" s="201"/>
    </row>
    <row r="661" spans="1:14" s="195" customFormat="1" ht="12.75">
      <c r="A661" s="629"/>
      <c r="B661" s="649"/>
      <c r="C661" s="42" t="s">
        <v>234</v>
      </c>
      <c r="D661" s="197">
        <v>0</v>
      </c>
      <c r="E661" s="197">
        <f t="shared" ref="E661:J661" si="210">E662</f>
        <v>0</v>
      </c>
      <c r="F661" s="197">
        <f t="shared" si="210"/>
        <v>0</v>
      </c>
      <c r="G661" s="197">
        <f t="shared" si="210"/>
        <v>0</v>
      </c>
      <c r="H661" s="197">
        <f t="shared" si="210"/>
        <v>0</v>
      </c>
      <c r="I661" s="197">
        <f t="shared" si="210"/>
        <v>0</v>
      </c>
      <c r="J661" s="197">
        <f t="shared" si="210"/>
        <v>0</v>
      </c>
      <c r="K661" s="201"/>
    </row>
    <row r="662" spans="1:14" s="195" customFormat="1" ht="25.5">
      <c r="A662" s="629"/>
      <c r="B662" s="649"/>
      <c r="C662" s="172" t="s">
        <v>226</v>
      </c>
      <c r="D662" s="45">
        <v>0</v>
      </c>
      <c r="E662" s="45">
        <v>0</v>
      </c>
      <c r="F662" s="46">
        <v>0</v>
      </c>
      <c r="G662" s="46">
        <v>0</v>
      </c>
      <c r="H662" s="46">
        <v>0</v>
      </c>
      <c r="I662" s="46">
        <v>0</v>
      </c>
      <c r="J662" s="46">
        <v>0</v>
      </c>
      <c r="K662" s="201"/>
    </row>
    <row r="663" spans="1:14" s="195" customFormat="1" ht="12.75">
      <c r="A663" s="629"/>
      <c r="B663" s="649"/>
      <c r="C663" s="139" t="s">
        <v>231</v>
      </c>
      <c r="D663" s="43">
        <v>0</v>
      </c>
      <c r="E663" s="43">
        <f>E664+E665</f>
        <v>0</v>
      </c>
      <c r="F663" s="43">
        <f>F664+F665</f>
        <v>0</v>
      </c>
      <c r="G663" s="43"/>
      <c r="H663" s="43"/>
      <c r="I663" s="43">
        <f>I664+I665</f>
        <v>0</v>
      </c>
      <c r="J663" s="43">
        <f>J664+J665</f>
        <v>0</v>
      </c>
      <c r="K663" s="201"/>
    </row>
    <row r="664" spans="1:14" s="195" customFormat="1" ht="16.5" customHeight="1">
      <c r="A664" s="629"/>
      <c r="B664" s="649"/>
      <c r="C664" s="172" t="s">
        <v>230</v>
      </c>
      <c r="D664" s="45">
        <v>0</v>
      </c>
      <c r="E664" s="46">
        <v>0</v>
      </c>
      <c r="F664" s="46">
        <v>0</v>
      </c>
      <c r="G664" s="46">
        <v>0</v>
      </c>
      <c r="H664" s="46">
        <v>0</v>
      </c>
      <c r="I664" s="46">
        <v>0</v>
      </c>
      <c r="J664" s="46">
        <v>0</v>
      </c>
      <c r="K664" s="201"/>
    </row>
    <row r="665" spans="1:14" s="195" customFormat="1" ht="25.5">
      <c r="A665" s="629"/>
      <c r="B665" s="649"/>
      <c r="C665" s="172" t="s">
        <v>226</v>
      </c>
      <c r="D665" s="45">
        <v>0</v>
      </c>
      <c r="E665" s="46">
        <v>0</v>
      </c>
      <c r="F665" s="46">
        <v>0</v>
      </c>
      <c r="G665" s="46">
        <v>0</v>
      </c>
      <c r="H665" s="46">
        <v>0</v>
      </c>
      <c r="I665" s="46">
        <v>0</v>
      </c>
      <c r="J665" s="46">
        <v>0</v>
      </c>
      <c r="K665" s="201"/>
    </row>
    <row r="666" spans="1:14" s="18" customFormat="1" ht="12.75">
      <c r="A666" s="629"/>
      <c r="B666" s="649"/>
      <c r="C666" s="42" t="s">
        <v>738</v>
      </c>
      <c r="D666" s="197">
        <v>20000</v>
      </c>
      <c r="E666" s="197">
        <f t="shared" ref="E666:J666" si="211">E667+E668</f>
        <v>20000</v>
      </c>
      <c r="F666" s="197">
        <f t="shared" si="211"/>
        <v>20000</v>
      </c>
      <c r="G666" s="197">
        <f t="shared" si="211"/>
        <v>0</v>
      </c>
      <c r="H666" s="197">
        <f t="shared" si="211"/>
        <v>0</v>
      </c>
      <c r="I666" s="197">
        <f t="shared" si="211"/>
        <v>30000</v>
      </c>
      <c r="J666" s="197">
        <f t="shared" si="211"/>
        <v>10000</v>
      </c>
      <c r="K666" s="28"/>
    </row>
    <row r="667" spans="1:14" s="48" customFormat="1" ht="25.5">
      <c r="A667" s="629"/>
      <c r="B667" s="649"/>
      <c r="C667" s="98" t="s">
        <v>226</v>
      </c>
      <c r="D667" s="45">
        <v>20000</v>
      </c>
      <c r="E667" s="57">
        <f>'Wykonanie 8 2025'!I1367+'Wykonanie 8 2025'!I1369</f>
        <v>20000</v>
      </c>
      <c r="F667" s="57">
        <v>20000</v>
      </c>
      <c r="G667" s="57">
        <v>0</v>
      </c>
      <c r="H667" s="57">
        <v>0</v>
      </c>
      <c r="I667" s="57">
        <f>15000+15000</f>
        <v>30000</v>
      </c>
      <c r="J667" s="57">
        <v>10000</v>
      </c>
      <c r="K667" s="58"/>
    </row>
    <row r="668" spans="1:14" s="40" customFormat="1" ht="13.5" customHeight="1">
      <c r="A668" s="629"/>
      <c r="B668" s="649"/>
      <c r="C668" s="98" t="s">
        <v>230</v>
      </c>
      <c r="D668" s="45">
        <v>0</v>
      </c>
      <c r="E668" s="57">
        <v>0</v>
      </c>
      <c r="F668" s="57">
        <v>0</v>
      </c>
      <c r="G668" s="57">
        <v>0</v>
      </c>
      <c r="H668" s="57">
        <v>0</v>
      </c>
      <c r="I668" s="57">
        <v>0</v>
      </c>
      <c r="J668" s="57">
        <v>0</v>
      </c>
      <c r="K668" s="61"/>
      <c r="N668" s="198"/>
    </row>
    <row r="669" spans="1:14" s="195" customFormat="1" ht="15.75">
      <c r="A669" s="650" t="s">
        <v>203</v>
      </c>
      <c r="B669" s="651"/>
      <c r="C669" s="652"/>
      <c r="D669" s="188">
        <v>147016657</v>
      </c>
      <c r="E669" s="188">
        <f t="shared" ref="E669:I669" si="212">E12+E21+E46+E74+E88+E134+E151+E155+E162+E166+E382+E402+E443+E486+E574+E623+E630+E642</f>
        <v>155627119.61000001</v>
      </c>
      <c r="F669" s="188">
        <f t="shared" si="212"/>
        <v>149707259.59</v>
      </c>
      <c r="G669" s="188">
        <f t="shared" si="212"/>
        <v>1647201.54</v>
      </c>
      <c r="H669" s="188">
        <f t="shared" si="212"/>
        <v>71261</v>
      </c>
      <c r="I669" s="188">
        <f t="shared" si="212"/>
        <v>171837466.16</v>
      </c>
      <c r="J669" s="188">
        <f>J12+J21+J46+J74+J88+J134+J151+J155+J162+J166+J382+J402+J443+J486+J574+J623+J630+J642</f>
        <v>164543973.41</v>
      </c>
      <c r="K669" s="201"/>
      <c r="M669" s="201"/>
      <c r="N669" s="194"/>
    </row>
    <row r="670" spans="1:14" s="195" customFormat="1" ht="15.75">
      <c r="A670" s="199"/>
      <c r="B670" s="200"/>
      <c r="C670" s="200"/>
      <c r="D670" s="202"/>
      <c r="E670" s="202"/>
      <c r="F670" s="202"/>
      <c r="G670" s="202"/>
      <c r="H670" s="202"/>
      <c r="I670" s="202"/>
      <c r="J670" s="578"/>
      <c r="K670" s="201"/>
    </row>
    <row r="671" spans="1:14" s="195" customFormat="1" ht="15.75">
      <c r="A671" s="199"/>
      <c r="B671" s="200"/>
      <c r="C671" s="200"/>
      <c r="D671" s="203"/>
      <c r="E671" s="203"/>
      <c r="F671" s="203"/>
      <c r="G671" s="203"/>
      <c r="H671" s="203"/>
      <c r="I671" s="203"/>
      <c r="J671" s="579"/>
      <c r="K671" s="201"/>
    </row>
    <row r="672" spans="1:14" s="195" customFormat="1" ht="15.75">
      <c r="A672" s="199"/>
      <c r="B672" s="200"/>
      <c r="C672" s="200"/>
      <c r="D672" s="203"/>
      <c r="E672" s="203"/>
      <c r="F672" s="203"/>
      <c r="G672" s="203"/>
      <c r="H672" s="203"/>
      <c r="I672" s="203"/>
      <c r="J672" s="579"/>
      <c r="K672" s="201"/>
    </row>
    <row r="673" spans="1:13" s="195" customFormat="1" ht="12.75">
      <c r="A673" s="653" t="s">
        <v>314</v>
      </c>
      <c r="B673" s="654"/>
      <c r="C673" s="654"/>
      <c r="D673" s="654"/>
      <c r="E673" s="654"/>
      <c r="F673" s="654"/>
      <c r="G673" s="654"/>
      <c r="H673" s="654"/>
      <c r="I673" s="654"/>
      <c r="J673" s="655"/>
      <c r="K673" s="201"/>
      <c r="M673" s="201"/>
    </row>
    <row r="674" spans="1:13" s="195" customFormat="1" ht="12.75">
      <c r="A674" s="204"/>
      <c r="B674" s="205"/>
      <c r="C674" s="206" t="s">
        <v>261</v>
      </c>
      <c r="D674" s="207">
        <f>D178+D202+D325+D361+D494</f>
        <v>7094382</v>
      </c>
      <c r="E674" s="207">
        <f t="shared" ref="E674:J674" si="213">E178+E202+E325+E361+E494</f>
        <v>7119491</v>
      </c>
      <c r="F674" s="207">
        <f t="shared" si="213"/>
        <v>7400857</v>
      </c>
      <c r="G674" s="207">
        <f t="shared" si="213"/>
        <v>0</v>
      </c>
      <c r="H674" s="207">
        <f t="shared" si="213"/>
        <v>0</v>
      </c>
      <c r="I674" s="207">
        <f t="shared" si="213"/>
        <v>7745974</v>
      </c>
      <c r="J674" s="580">
        <f t="shared" si="213"/>
        <v>7515613</v>
      </c>
      <c r="K674" s="201"/>
    </row>
    <row r="675" spans="1:13" s="195" customFormat="1" ht="12.75">
      <c r="A675" s="209"/>
      <c r="B675" s="205"/>
      <c r="C675" s="206" t="s">
        <v>116</v>
      </c>
      <c r="D675" s="207">
        <f t="shared" ref="D675:J675" si="214">D183+D207+D330+D371</f>
        <v>8900287</v>
      </c>
      <c r="E675" s="207">
        <f t="shared" si="214"/>
        <v>9136495.0099999998</v>
      </c>
      <c r="F675" s="207">
        <f t="shared" si="214"/>
        <v>9104637.9100000001</v>
      </c>
      <c r="G675" s="207">
        <f t="shared" si="214"/>
        <v>74097.31</v>
      </c>
      <c r="H675" s="207">
        <f t="shared" si="214"/>
        <v>0</v>
      </c>
      <c r="I675" s="208">
        <f t="shared" si="214"/>
        <v>10218538</v>
      </c>
      <c r="J675" s="580">
        <f t="shared" si="214"/>
        <v>9086058</v>
      </c>
      <c r="K675" s="201"/>
    </row>
    <row r="676" spans="1:13" s="195" customFormat="1" ht="12.75">
      <c r="A676" s="209"/>
      <c r="B676" s="205"/>
      <c r="C676" s="206" t="s">
        <v>123</v>
      </c>
      <c r="D676" s="207">
        <f t="shared" ref="D676:J676" si="215">D234+D261+D284+D342+D369+D647</f>
        <v>20584631</v>
      </c>
      <c r="E676" s="207">
        <f t="shared" si="215"/>
        <v>21781026.920000002</v>
      </c>
      <c r="F676" s="208">
        <f t="shared" si="215"/>
        <v>24120897.300000001</v>
      </c>
      <c r="G676" s="208">
        <f t="shared" si="215"/>
        <v>0</v>
      </c>
      <c r="H676" s="208">
        <f t="shared" si="215"/>
        <v>0</v>
      </c>
      <c r="I676" s="208">
        <f t="shared" si="215"/>
        <v>25034470</v>
      </c>
      <c r="J676" s="581">
        <f t="shared" si="215"/>
        <v>22171838</v>
      </c>
      <c r="K676" s="201"/>
    </row>
    <row r="677" spans="1:13" s="195" customFormat="1" ht="12.75">
      <c r="A677" s="209"/>
      <c r="B677" s="205"/>
      <c r="C677" s="206" t="s">
        <v>315</v>
      </c>
      <c r="D677" s="207">
        <f t="shared" ref="D677:J677" si="216">D289+D378</f>
        <v>4928723</v>
      </c>
      <c r="E677" s="207">
        <f t="shared" si="216"/>
        <v>5127027</v>
      </c>
      <c r="F677" s="208">
        <f t="shared" si="216"/>
        <v>5105041</v>
      </c>
      <c r="G677" s="208">
        <f t="shared" si="216"/>
        <v>0</v>
      </c>
      <c r="H677" s="208">
        <f t="shared" si="216"/>
        <v>0</v>
      </c>
      <c r="I677" s="208">
        <f t="shared" si="216"/>
        <v>5008957</v>
      </c>
      <c r="J677" s="581">
        <f t="shared" si="216"/>
        <v>5003957</v>
      </c>
      <c r="K677" s="201"/>
    </row>
    <row r="678" spans="1:13" s="195" customFormat="1" ht="12.75">
      <c r="A678" s="209"/>
      <c r="B678" s="205"/>
      <c r="C678" s="206" t="s">
        <v>279</v>
      </c>
      <c r="D678" s="207">
        <f t="shared" ref="D678:J678" si="217">D229+D256+D345+D365+D546</f>
        <v>13208054.25</v>
      </c>
      <c r="E678" s="207">
        <f t="shared" si="217"/>
        <v>13415141.25</v>
      </c>
      <c r="F678" s="207">
        <f t="shared" si="217"/>
        <v>14248166</v>
      </c>
      <c r="G678" s="207">
        <f t="shared" si="217"/>
        <v>11446</v>
      </c>
      <c r="H678" s="207">
        <f t="shared" si="217"/>
        <v>0</v>
      </c>
      <c r="I678" s="207">
        <f t="shared" si="217"/>
        <v>14198596</v>
      </c>
      <c r="J678" s="580">
        <f t="shared" si="217"/>
        <v>11465559</v>
      </c>
      <c r="K678" s="201"/>
    </row>
    <row r="679" spans="1:13" s="195" customFormat="1" ht="12.75">
      <c r="A679" s="209"/>
      <c r="B679" s="205"/>
      <c r="C679" s="206" t="s">
        <v>271</v>
      </c>
      <c r="D679" s="207">
        <f t="shared" ref="D679:J679" si="218">D309+D363</f>
        <v>3456647</v>
      </c>
      <c r="E679" s="207">
        <f t="shared" si="218"/>
        <v>3485740.42</v>
      </c>
      <c r="F679" s="207">
        <f t="shared" si="218"/>
        <v>3478892.42</v>
      </c>
      <c r="G679" s="207">
        <f t="shared" si="218"/>
        <v>53957.07</v>
      </c>
      <c r="H679" s="207">
        <f t="shared" si="218"/>
        <v>0</v>
      </c>
      <c r="I679" s="207">
        <f t="shared" si="218"/>
        <v>3731538.61</v>
      </c>
      <c r="J679" s="580">
        <f t="shared" si="218"/>
        <v>3723676.07</v>
      </c>
      <c r="K679" s="201"/>
    </row>
    <row r="680" spans="1:13" s="195" customFormat="1" ht="12.75">
      <c r="A680" s="209"/>
      <c r="B680" s="205"/>
      <c r="C680" s="206" t="s">
        <v>187</v>
      </c>
      <c r="D680" s="207">
        <f t="shared" ref="D680:J680" si="219">D523</f>
        <v>1509726</v>
      </c>
      <c r="E680" s="207">
        <f t="shared" si="219"/>
        <v>1513855.8</v>
      </c>
      <c r="F680" s="208">
        <f t="shared" si="219"/>
        <v>1650421.9</v>
      </c>
      <c r="G680" s="208">
        <f t="shared" si="219"/>
        <v>0</v>
      </c>
      <c r="H680" s="208">
        <f t="shared" si="219"/>
        <v>0</v>
      </c>
      <c r="I680" s="208">
        <f t="shared" si="219"/>
        <v>1760155</v>
      </c>
      <c r="J680" s="581">
        <f t="shared" si="219"/>
        <v>1657500</v>
      </c>
      <c r="K680" s="201"/>
    </row>
    <row r="681" spans="1:13" s="195" customFormat="1" ht="12.75">
      <c r="A681" s="209"/>
      <c r="B681" s="205"/>
      <c r="C681" s="206" t="s">
        <v>186</v>
      </c>
      <c r="D681" s="207">
        <f t="shared" ref="D681:J681" si="220">D507+D528</f>
        <v>2487857</v>
      </c>
      <c r="E681" s="207">
        <f t="shared" si="220"/>
        <v>2518397</v>
      </c>
      <c r="F681" s="207">
        <f t="shared" si="220"/>
        <v>2507904.2299999995</v>
      </c>
      <c r="G681" s="207">
        <f t="shared" si="220"/>
        <v>19753</v>
      </c>
      <c r="H681" s="207">
        <f t="shared" si="220"/>
        <v>0</v>
      </c>
      <c r="I681" s="208">
        <f t="shared" si="220"/>
        <v>3067412</v>
      </c>
      <c r="J681" s="580">
        <f t="shared" si="220"/>
        <v>2651944</v>
      </c>
      <c r="K681" s="201"/>
    </row>
    <row r="682" spans="1:13" s="195" customFormat="1" ht="12.75">
      <c r="A682" s="209"/>
      <c r="B682" s="210"/>
      <c r="C682" s="211" t="s">
        <v>316</v>
      </c>
      <c r="D682" s="211">
        <f>D674+D675+D676+D677+D678+D679+D680+D681</f>
        <v>62170307.25</v>
      </c>
      <c r="E682" s="211">
        <f t="shared" ref="E682:J682" si="221">E674+E675+E676+E677+E678+E679+E680+E681</f>
        <v>64097174.399999999</v>
      </c>
      <c r="F682" s="212">
        <f t="shared" si="221"/>
        <v>67616817.760000005</v>
      </c>
      <c r="G682" s="212">
        <f t="shared" si="221"/>
        <v>159253.38</v>
      </c>
      <c r="H682" s="212">
        <f t="shared" si="221"/>
        <v>0</v>
      </c>
      <c r="I682" s="212">
        <f t="shared" si="221"/>
        <v>70765640.609999999</v>
      </c>
      <c r="J682" s="581">
        <f t="shared" si="221"/>
        <v>63276145.07</v>
      </c>
      <c r="K682" s="201"/>
    </row>
    <row r="683" spans="1:13" s="195" customFormat="1" ht="25.5">
      <c r="A683" s="209"/>
      <c r="B683" s="210"/>
      <c r="C683" s="174" t="s">
        <v>317</v>
      </c>
      <c r="D683" s="207">
        <f t="shared" ref="D683:J683" si="222">D175+D199+D223+D250+D278+D304+D380+D491+D504+D520+D543+D572</f>
        <v>236581.04</v>
      </c>
      <c r="E683" s="207">
        <f t="shared" si="222"/>
        <v>811067.04</v>
      </c>
      <c r="F683" s="207">
        <f t="shared" si="222"/>
        <v>0</v>
      </c>
      <c r="G683" s="207">
        <f t="shared" si="222"/>
        <v>0</v>
      </c>
      <c r="H683" s="207">
        <f t="shared" si="222"/>
        <v>0</v>
      </c>
      <c r="I683" s="207">
        <f t="shared" si="222"/>
        <v>236581</v>
      </c>
      <c r="J683" s="580">
        <f t="shared" si="222"/>
        <v>114500</v>
      </c>
      <c r="K683" s="201"/>
    </row>
    <row r="684" spans="1:13" s="195" customFormat="1" ht="12.75">
      <c r="A684" s="209"/>
      <c r="B684" s="210"/>
      <c r="C684" s="327" t="s">
        <v>259</v>
      </c>
      <c r="D684" s="207">
        <f t="shared" ref="D684:J684" si="223">D170+D195+D218+D245+D272+D301+D321+D336+D340+D356+D488+D500+D515+D539+D555+D558+D561+D569</f>
        <v>14957524</v>
      </c>
      <c r="E684" s="207">
        <f t="shared" si="223"/>
        <v>13438432.859999999</v>
      </c>
      <c r="F684" s="207">
        <f t="shared" si="223"/>
        <v>10289872</v>
      </c>
      <c r="G684" s="207">
        <f t="shared" si="223"/>
        <v>0</v>
      </c>
      <c r="H684" s="207">
        <f t="shared" si="223"/>
        <v>0</v>
      </c>
      <c r="I684" s="207">
        <f t="shared" si="223"/>
        <v>18169459</v>
      </c>
      <c r="J684" s="580">
        <f t="shared" si="223"/>
        <v>18741451</v>
      </c>
      <c r="K684" s="201"/>
    </row>
    <row r="685" spans="1:13" s="195" customFormat="1" ht="12.75">
      <c r="A685" s="209"/>
      <c r="B685" s="210"/>
      <c r="C685" s="38" t="s">
        <v>234</v>
      </c>
      <c r="D685" s="207">
        <v>0</v>
      </c>
      <c r="E685" s="207">
        <v>0</v>
      </c>
      <c r="F685" s="208">
        <v>0</v>
      </c>
      <c r="G685" s="208">
        <v>0</v>
      </c>
      <c r="H685" s="208">
        <v>0</v>
      </c>
      <c r="I685" s="208">
        <v>0</v>
      </c>
      <c r="J685" s="581">
        <v>0</v>
      </c>
      <c r="K685" s="201"/>
    </row>
    <row r="686" spans="1:13" s="195" customFormat="1" ht="12.75">
      <c r="A686" s="209"/>
      <c r="B686" s="210"/>
      <c r="C686" s="211"/>
      <c r="D686" s="211">
        <f t="shared" ref="D686:D687" si="224">J682</f>
        <v>63276145.07</v>
      </c>
      <c r="E686" s="211"/>
      <c r="F686" s="212"/>
      <c r="G686" s="212"/>
      <c r="H686" s="212"/>
      <c r="I686" s="212"/>
      <c r="J686" s="581"/>
      <c r="K686" s="201"/>
    </row>
    <row r="687" spans="1:13" s="195" customFormat="1" ht="12.75">
      <c r="A687" s="209"/>
      <c r="B687" s="213"/>
      <c r="C687" s="214"/>
      <c r="D687" s="215">
        <f t="shared" si="224"/>
        <v>114500</v>
      </c>
      <c r="E687" s="215"/>
      <c r="F687" s="201"/>
      <c r="G687" s="201"/>
      <c r="H687" s="201"/>
      <c r="I687" s="201"/>
      <c r="J687" s="582"/>
      <c r="K687" s="201"/>
    </row>
    <row r="688" spans="1:13" s="195" customFormat="1" ht="12.75">
      <c r="A688" s="209"/>
      <c r="B688" s="656"/>
      <c r="C688" s="216" t="s">
        <v>318</v>
      </c>
      <c r="D688" s="217">
        <f>D682+D683+D684</f>
        <v>77364412.289999992</v>
      </c>
      <c r="E688" s="217">
        <f t="shared" ref="E688:J688" si="225">E682+E683+E684</f>
        <v>78346674.299999997</v>
      </c>
      <c r="F688" s="218">
        <f t="shared" si="225"/>
        <v>77906689.760000005</v>
      </c>
      <c r="G688" s="218">
        <f t="shared" si="225"/>
        <v>159253.38</v>
      </c>
      <c r="H688" s="218">
        <f t="shared" si="225"/>
        <v>0</v>
      </c>
      <c r="I688" s="218">
        <f t="shared" si="225"/>
        <v>89171680.609999999</v>
      </c>
      <c r="J688" s="581">
        <f t="shared" si="225"/>
        <v>82132096.069999993</v>
      </c>
      <c r="K688" s="201"/>
    </row>
    <row r="689" spans="1:13" s="195" customFormat="1" ht="12.75">
      <c r="A689" s="209"/>
      <c r="B689" s="657"/>
      <c r="C689" s="216" t="s">
        <v>319</v>
      </c>
      <c r="D689" s="217"/>
      <c r="E689" s="217"/>
      <c r="F689" s="217"/>
      <c r="G689" s="217"/>
      <c r="H689" s="217"/>
      <c r="I689" s="218"/>
      <c r="J689" s="580"/>
      <c r="K689" s="201"/>
      <c r="M689" s="201"/>
    </row>
    <row r="690" spans="1:13" s="195" customFormat="1" ht="12.75">
      <c r="A690" s="209"/>
      <c r="B690" s="657"/>
      <c r="C690" s="216" t="s">
        <v>320</v>
      </c>
      <c r="D690" s="217"/>
      <c r="E690" s="217"/>
      <c r="F690" s="217"/>
      <c r="G690" s="218"/>
      <c r="H690" s="218"/>
      <c r="I690" s="218"/>
      <c r="J690" s="581"/>
      <c r="K690" s="201"/>
    </row>
    <row r="691" spans="1:13" s="195" customFormat="1" ht="12.75">
      <c r="A691" s="220"/>
      <c r="B691" s="657"/>
      <c r="C691" s="216" t="s">
        <v>321</v>
      </c>
      <c r="D691" s="221"/>
      <c r="E691" s="221"/>
      <c r="F691" s="219"/>
      <c r="G691" s="219"/>
      <c r="H691" s="219"/>
      <c r="I691" s="219"/>
      <c r="J691" s="581"/>
      <c r="K691" s="201"/>
    </row>
    <row r="692" spans="1:13" s="195" customFormat="1" ht="12.75">
      <c r="B692" s="222"/>
      <c r="C692" s="223"/>
      <c r="D692" s="215"/>
      <c r="E692" s="215"/>
      <c r="F692" s="201"/>
      <c r="G692" s="201"/>
      <c r="H692" s="201"/>
      <c r="I692" s="201"/>
      <c r="J692" s="583"/>
      <c r="K692" s="201"/>
    </row>
    <row r="693" spans="1:13" s="195" customFormat="1" ht="12.75">
      <c r="B693" s="222"/>
      <c r="C693" s="214"/>
      <c r="D693" s="215"/>
      <c r="E693" s="215"/>
      <c r="F693" s="201"/>
      <c r="G693" s="201"/>
      <c r="H693" s="201"/>
      <c r="I693" s="201"/>
      <c r="J693" s="583"/>
      <c r="K693" s="201"/>
    </row>
    <row r="694" spans="1:13" s="195" customFormat="1" ht="12.75">
      <c r="B694" s="222"/>
      <c r="C694" s="214"/>
      <c r="D694" s="215"/>
      <c r="E694" s="215"/>
      <c r="F694" s="201"/>
      <c r="G694" s="201"/>
      <c r="H694" s="201"/>
      <c r="I694" s="201"/>
      <c r="J694" s="583"/>
      <c r="K694" s="201"/>
    </row>
    <row r="695" spans="1:13" s="195" customFormat="1" ht="12.75">
      <c r="B695" s="222"/>
      <c r="C695" s="214"/>
      <c r="D695" s="215"/>
      <c r="E695" s="215"/>
      <c r="F695" s="201"/>
      <c r="G695" s="201"/>
      <c r="H695" s="201"/>
      <c r="I695" s="201"/>
      <c r="J695" s="583"/>
      <c r="K695" s="201"/>
    </row>
    <row r="696" spans="1:13" s="195" customFormat="1" ht="12.75">
      <c r="A696" s="618" t="s">
        <v>2</v>
      </c>
      <c r="B696" s="662" t="s">
        <v>3</v>
      </c>
      <c r="C696" s="665" t="s">
        <v>5</v>
      </c>
      <c r="D696" s="621" t="s">
        <v>702</v>
      </c>
      <c r="E696" s="621"/>
      <c r="F696" s="621"/>
      <c r="G696" s="224"/>
      <c r="H696" s="668" t="s">
        <v>703</v>
      </c>
      <c r="I696" s="669"/>
      <c r="J696" s="670"/>
      <c r="K696" s="201"/>
    </row>
    <row r="697" spans="1:13" s="18" customFormat="1" ht="12.75" customHeight="1">
      <c r="A697" s="618"/>
      <c r="B697" s="663"/>
      <c r="C697" s="666"/>
      <c r="D697" s="671">
        <f>J693</f>
        <v>0</v>
      </c>
      <c r="E697" s="615" t="s">
        <v>733</v>
      </c>
      <c r="F697" s="616" t="s">
        <v>10</v>
      </c>
      <c r="G697" s="673" t="s">
        <v>704</v>
      </c>
      <c r="H697" s="673" t="s">
        <v>322</v>
      </c>
      <c r="I697" s="616" t="s">
        <v>323</v>
      </c>
      <c r="J697" s="624" t="s">
        <v>224</v>
      </c>
      <c r="K697" s="28"/>
    </row>
    <row r="698" spans="1:13" s="18" customFormat="1" ht="32.25" customHeight="1">
      <c r="A698" s="618"/>
      <c r="B698" s="663"/>
      <c r="C698" s="666"/>
      <c r="D698" s="672"/>
      <c r="E698" s="615"/>
      <c r="F698" s="616"/>
      <c r="G698" s="674"/>
      <c r="H698" s="674"/>
      <c r="I698" s="616"/>
      <c r="J698" s="624"/>
      <c r="K698" s="28"/>
    </row>
    <row r="699" spans="1:13" s="18" customFormat="1" ht="12.75">
      <c r="A699" s="618"/>
      <c r="B699" s="664"/>
      <c r="C699" s="667"/>
      <c r="D699" s="625" t="s">
        <v>11</v>
      </c>
      <c r="E699" s="626"/>
      <c r="F699" s="626"/>
      <c r="G699" s="626"/>
      <c r="H699" s="626"/>
      <c r="I699" s="627"/>
      <c r="J699" s="575"/>
      <c r="K699" s="28"/>
    </row>
    <row r="700" spans="1:13" s="18" customFormat="1" ht="12.75">
      <c r="A700" s="225" t="str">
        <f t="shared" ref="A700:J700" si="226">A12</f>
        <v>020</v>
      </c>
      <c r="B700" s="225">
        <f t="shared" si="226"/>
        <v>0</v>
      </c>
      <c r="C700" s="225" t="str">
        <f t="shared" si="226"/>
        <v>Leśnictwo</v>
      </c>
      <c r="D700" s="226">
        <f t="shared" si="226"/>
        <v>90000</v>
      </c>
      <c r="E700" s="226">
        <f t="shared" si="226"/>
        <v>90000</v>
      </c>
      <c r="F700" s="227">
        <f t="shared" si="226"/>
        <v>40689.1</v>
      </c>
      <c r="G700" s="227">
        <f t="shared" si="226"/>
        <v>0</v>
      </c>
      <c r="H700" s="227">
        <f t="shared" si="226"/>
        <v>0</v>
      </c>
      <c r="I700" s="228">
        <f t="shared" si="226"/>
        <v>68207</v>
      </c>
      <c r="J700" s="584">
        <f t="shared" si="226"/>
        <v>66207</v>
      </c>
      <c r="K700" s="28"/>
    </row>
    <row r="701" spans="1:13" s="18" customFormat="1" ht="12.75">
      <c r="A701" s="229">
        <f t="shared" ref="A701:J701" si="227">A21</f>
        <v>600</v>
      </c>
      <c r="B701" s="229">
        <f t="shared" si="227"/>
        <v>0</v>
      </c>
      <c r="C701" s="229" t="str">
        <f t="shared" si="227"/>
        <v>Transport i łączność</v>
      </c>
      <c r="D701" s="230">
        <f t="shared" si="227"/>
        <v>6416523.8200000003</v>
      </c>
      <c r="E701" s="230">
        <f t="shared" si="227"/>
        <v>6345075.3799999999</v>
      </c>
      <c r="F701" s="188">
        <f t="shared" si="227"/>
        <v>5868419</v>
      </c>
      <c r="G701" s="188">
        <f t="shared" si="227"/>
        <v>29794</v>
      </c>
      <c r="H701" s="188">
        <f t="shared" si="227"/>
        <v>0</v>
      </c>
      <c r="I701" s="231">
        <f t="shared" si="227"/>
        <v>6746316.7999999998</v>
      </c>
      <c r="J701" s="577">
        <f t="shared" si="227"/>
        <v>6494360</v>
      </c>
      <c r="K701" s="28"/>
    </row>
    <row r="702" spans="1:13" s="18" customFormat="1" ht="12.75">
      <c r="A702" s="229">
        <f t="shared" ref="A702:J702" si="228">A46</f>
        <v>700</v>
      </c>
      <c r="B702" s="229">
        <f t="shared" si="228"/>
        <v>0</v>
      </c>
      <c r="C702" s="229" t="str">
        <f t="shared" si="228"/>
        <v>Gospodarka mieszkaniowa</v>
      </c>
      <c r="D702" s="230">
        <f t="shared" si="228"/>
        <v>1629915.87</v>
      </c>
      <c r="E702" s="230">
        <f t="shared" si="228"/>
        <v>1616531.87</v>
      </c>
      <c r="F702" s="188">
        <f t="shared" si="228"/>
        <v>1437761.12</v>
      </c>
      <c r="G702" s="188">
        <f t="shared" si="228"/>
        <v>0</v>
      </c>
      <c r="H702" s="188">
        <f t="shared" si="228"/>
        <v>0</v>
      </c>
      <c r="I702" s="231">
        <f t="shared" si="228"/>
        <v>1949474.1</v>
      </c>
      <c r="J702" s="577">
        <f t="shared" si="228"/>
        <v>1553056</v>
      </c>
      <c r="K702" s="28"/>
    </row>
    <row r="703" spans="1:13" s="18" customFormat="1" ht="12.75">
      <c r="A703" s="229">
        <f t="shared" ref="A703:J703" si="229">A74</f>
        <v>710</v>
      </c>
      <c r="B703" s="229">
        <f t="shared" si="229"/>
        <v>0</v>
      </c>
      <c r="C703" s="229" t="str">
        <f t="shared" si="229"/>
        <v>Działalność usługowa</v>
      </c>
      <c r="D703" s="230">
        <f t="shared" si="229"/>
        <v>1928595.75</v>
      </c>
      <c r="E703" s="230">
        <f t="shared" si="229"/>
        <v>1977220.75</v>
      </c>
      <c r="F703" s="188">
        <f t="shared" si="229"/>
        <v>2189339.87</v>
      </c>
      <c r="G703" s="188">
        <f t="shared" si="229"/>
        <v>11857.18</v>
      </c>
      <c r="H703" s="188">
        <f t="shared" si="229"/>
        <v>0</v>
      </c>
      <c r="I703" s="231">
        <f t="shared" si="229"/>
        <v>2725500.22</v>
      </c>
      <c r="J703" s="577">
        <f t="shared" si="229"/>
        <v>2425500</v>
      </c>
      <c r="K703" s="28"/>
    </row>
    <row r="704" spans="1:13" s="18" customFormat="1" ht="12.75">
      <c r="A704" s="229">
        <f t="shared" ref="A704:J704" si="230">A88</f>
        <v>750</v>
      </c>
      <c r="B704" s="229">
        <f t="shared" si="230"/>
        <v>0</v>
      </c>
      <c r="C704" s="229" t="str">
        <f t="shared" si="230"/>
        <v>Administracja publiczna</v>
      </c>
      <c r="D704" s="230">
        <f t="shared" si="230"/>
        <v>14985552.380000001</v>
      </c>
      <c r="E704" s="230">
        <f t="shared" si="230"/>
        <v>15371947.389999999</v>
      </c>
      <c r="F704" s="188">
        <f t="shared" si="230"/>
        <v>14760280.049999999</v>
      </c>
      <c r="G704" s="188">
        <f t="shared" si="230"/>
        <v>0</v>
      </c>
      <c r="H704" s="188">
        <f t="shared" si="230"/>
        <v>0</v>
      </c>
      <c r="I704" s="231">
        <f t="shared" si="230"/>
        <v>16087398.759999998</v>
      </c>
      <c r="J704" s="577">
        <f t="shared" si="230"/>
        <v>16020452.99</v>
      </c>
      <c r="K704" s="28"/>
    </row>
    <row r="705" spans="1:11" s="18" customFormat="1" ht="12.75">
      <c r="A705" s="229">
        <f t="shared" ref="A705:J705" si="231">A134</f>
        <v>754</v>
      </c>
      <c r="B705" s="229">
        <f t="shared" si="231"/>
        <v>0</v>
      </c>
      <c r="C705" s="229" t="str">
        <f t="shared" si="231"/>
        <v>Bezpieczeństwo publiczne i ochrona przeciwpożarowa</v>
      </c>
      <c r="D705" s="230">
        <f t="shared" si="231"/>
        <v>215636.31999999998</v>
      </c>
      <c r="E705" s="230">
        <f t="shared" si="231"/>
        <v>216636.32</v>
      </c>
      <c r="F705" s="188">
        <f t="shared" si="231"/>
        <v>223955.25</v>
      </c>
      <c r="G705" s="188">
        <f t="shared" si="231"/>
        <v>0</v>
      </c>
      <c r="H705" s="188">
        <f t="shared" si="231"/>
        <v>0</v>
      </c>
      <c r="I705" s="231">
        <f t="shared" si="231"/>
        <v>344482.47</v>
      </c>
      <c r="J705" s="577">
        <f t="shared" si="231"/>
        <v>359482</v>
      </c>
      <c r="K705" s="28"/>
    </row>
    <row r="706" spans="1:11" s="18" customFormat="1" ht="12.75">
      <c r="A706" s="229">
        <f t="shared" ref="A706:F706" si="232">A155</f>
        <v>757</v>
      </c>
      <c r="B706" s="229">
        <f t="shared" si="232"/>
        <v>0</v>
      </c>
      <c r="C706" s="229" t="str">
        <f t="shared" si="232"/>
        <v>Obsługa długu publicznego</v>
      </c>
      <c r="D706" s="230">
        <f t="shared" si="232"/>
        <v>2430000</v>
      </c>
      <c r="E706" s="230">
        <f t="shared" si="232"/>
        <v>2430000</v>
      </c>
      <c r="F706" s="188">
        <f t="shared" si="232"/>
        <v>2230000</v>
      </c>
      <c r="G706" s="188">
        <v>0</v>
      </c>
      <c r="H706" s="188">
        <f>H155</f>
        <v>0</v>
      </c>
      <c r="I706" s="231">
        <f>I155</f>
        <v>5430000</v>
      </c>
      <c r="J706" s="577">
        <f>J155</f>
        <v>5500000</v>
      </c>
      <c r="K706" s="28"/>
    </row>
    <row r="707" spans="1:11" s="18" customFormat="1" ht="12.75">
      <c r="A707" s="229">
        <f t="shared" ref="A707:J707" si="233">A162</f>
        <v>758</v>
      </c>
      <c r="B707" s="229">
        <f t="shared" si="233"/>
        <v>0</v>
      </c>
      <c r="C707" s="229" t="str">
        <f t="shared" si="233"/>
        <v>Różne rozliczenia</v>
      </c>
      <c r="D707" s="230">
        <f t="shared" si="233"/>
        <v>1750000</v>
      </c>
      <c r="E707" s="230">
        <f t="shared" si="233"/>
        <v>932582.98</v>
      </c>
      <c r="F707" s="188">
        <f t="shared" si="233"/>
        <v>0</v>
      </c>
      <c r="G707" s="188">
        <f t="shared" si="233"/>
        <v>0</v>
      </c>
      <c r="H707" s="188">
        <f t="shared" si="233"/>
        <v>0</v>
      </c>
      <c r="I707" s="231">
        <f t="shared" si="233"/>
        <v>2250000</v>
      </c>
      <c r="J707" s="577">
        <f t="shared" si="233"/>
        <v>3000000</v>
      </c>
      <c r="K707" s="28"/>
    </row>
    <row r="708" spans="1:11" s="18" customFormat="1" ht="12.75">
      <c r="A708" s="229">
        <f t="shared" ref="A708:J708" si="234">A166</f>
        <v>801</v>
      </c>
      <c r="B708" s="229">
        <f t="shared" si="234"/>
        <v>0</v>
      </c>
      <c r="C708" s="229" t="str">
        <f t="shared" si="234"/>
        <v>Oświata i wychowanie</v>
      </c>
      <c r="D708" s="230">
        <f t="shared" si="234"/>
        <v>59520230</v>
      </c>
      <c r="E708" s="230">
        <f t="shared" si="234"/>
        <v>63410895.229999997</v>
      </c>
      <c r="F708" s="188">
        <f t="shared" si="234"/>
        <v>59055774.250000007</v>
      </c>
      <c r="G708" s="188">
        <f t="shared" si="234"/>
        <v>139500.38</v>
      </c>
      <c r="H708" s="188">
        <f t="shared" si="234"/>
        <v>0</v>
      </c>
      <c r="I708" s="231">
        <f t="shared" si="234"/>
        <v>69542994.299999997</v>
      </c>
      <c r="J708" s="577">
        <f t="shared" si="234"/>
        <v>63384633.07</v>
      </c>
      <c r="K708" s="28"/>
    </row>
    <row r="709" spans="1:11" s="18" customFormat="1" ht="12.75">
      <c r="A709" s="229">
        <f t="shared" ref="A709:J709" si="235">A382</f>
        <v>851</v>
      </c>
      <c r="B709" s="229">
        <f t="shared" si="235"/>
        <v>0</v>
      </c>
      <c r="C709" s="229" t="str">
        <f t="shared" si="235"/>
        <v>Ochrona zdrowia</v>
      </c>
      <c r="D709" s="230">
        <f t="shared" si="235"/>
        <v>105987</v>
      </c>
      <c r="E709" s="230">
        <f t="shared" si="235"/>
        <v>132390</v>
      </c>
      <c r="F709" s="188">
        <f t="shared" si="235"/>
        <v>10154.34</v>
      </c>
      <c r="G709" s="188">
        <f t="shared" si="235"/>
        <v>0</v>
      </c>
      <c r="H709" s="188">
        <f t="shared" si="235"/>
        <v>0</v>
      </c>
      <c r="I709" s="231">
        <f t="shared" si="235"/>
        <v>20500</v>
      </c>
      <c r="J709" s="577">
        <f t="shared" si="235"/>
        <v>20500</v>
      </c>
      <c r="K709" s="28"/>
    </row>
    <row r="710" spans="1:11" s="18" customFormat="1" ht="12.75">
      <c r="A710" s="229">
        <f t="shared" ref="A710:J710" si="236">A402</f>
        <v>852</v>
      </c>
      <c r="B710" s="229">
        <f t="shared" si="236"/>
        <v>0</v>
      </c>
      <c r="C710" s="229" t="str">
        <f t="shared" si="236"/>
        <v>Pomoc społeczna</v>
      </c>
      <c r="D710" s="230">
        <f t="shared" si="236"/>
        <v>21680164</v>
      </c>
      <c r="E710" s="230">
        <f t="shared" si="236"/>
        <v>24095087</v>
      </c>
      <c r="F710" s="188">
        <f t="shared" si="236"/>
        <v>23823062.469999999</v>
      </c>
      <c r="G710" s="188">
        <f t="shared" si="236"/>
        <v>1159870</v>
      </c>
      <c r="H710" s="188">
        <f t="shared" si="236"/>
        <v>71261</v>
      </c>
      <c r="I710" s="231">
        <f t="shared" si="236"/>
        <v>24583019</v>
      </c>
      <c r="J710" s="577">
        <f t="shared" si="236"/>
        <v>26153390</v>
      </c>
      <c r="K710" s="28"/>
    </row>
    <row r="711" spans="1:11" s="18" customFormat="1" ht="12.75">
      <c r="A711" s="229">
        <f t="shared" ref="A711:J711" si="237">A443</f>
        <v>853</v>
      </c>
      <c r="B711" s="229">
        <f t="shared" si="237"/>
        <v>0</v>
      </c>
      <c r="C711" s="229" t="str">
        <f t="shared" si="237"/>
        <v>Pozostałe zadania w zakresie polityki społecznej</v>
      </c>
      <c r="D711" s="230">
        <f t="shared" si="237"/>
        <v>6038690.5700000003</v>
      </c>
      <c r="E711" s="230">
        <f t="shared" si="237"/>
        <v>7521114.4399999995</v>
      </c>
      <c r="F711" s="188">
        <f t="shared" si="237"/>
        <v>6986063.7599999998</v>
      </c>
      <c r="G711" s="188">
        <f t="shared" si="237"/>
        <v>0</v>
      </c>
      <c r="H711" s="188">
        <f t="shared" si="237"/>
        <v>0</v>
      </c>
      <c r="I711" s="231">
        <f t="shared" si="237"/>
        <v>5185146.5100000007</v>
      </c>
      <c r="J711" s="577">
        <f t="shared" si="237"/>
        <v>4973849.2</v>
      </c>
      <c r="K711" s="28"/>
    </row>
    <row r="712" spans="1:11" s="18" customFormat="1" ht="12.75">
      <c r="A712" s="229">
        <f t="shared" ref="A712:G712" si="238">A486</f>
        <v>854</v>
      </c>
      <c r="B712" s="229">
        <f t="shared" si="238"/>
        <v>0</v>
      </c>
      <c r="C712" s="229" t="str">
        <f t="shared" si="238"/>
        <v>Edukacyjna opieka wychowawcza</v>
      </c>
      <c r="D712" s="230">
        <f t="shared" si="238"/>
        <v>14946269.289999999</v>
      </c>
      <c r="E712" s="230">
        <f t="shared" si="238"/>
        <v>15166788.25</v>
      </c>
      <c r="F712" s="188">
        <f t="shared" si="238"/>
        <v>15686623.129999999</v>
      </c>
      <c r="G712" s="188">
        <f t="shared" si="238"/>
        <v>19753</v>
      </c>
      <c r="H712" s="188">
        <v>0</v>
      </c>
      <c r="I712" s="231">
        <f>I486</f>
        <v>17771537</v>
      </c>
      <c r="J712" s="577">
        <f>J486</f>
        <v>17470623</v>
      </c>
      <c r="K712" s="28"/>
    </row>
    <row r="713" spans="1:11" s="18" customFormat="1" ht="12.75">
      <c r="A713" s="229" t="s">
        <v>298</v>
      </c>
      <c r="B713" s="229"/>
      <c r="C713" s="229" t="s">
        <v>190</v>
      </c>
      <c r="D713" s="230">
        <f t="shared" ref="D713:J713" si="239">D574</f>
        <v>11650092</v>
      </c>
      <c r="E713" s="230">
        <f t="shared" si="239"/>
        <v>12674350</v>
      </c>
      <c r="F713" s="188">
        <f t="shared" si="239"/>
        <v>13740681.870000001</v>
      </c>
      <c r="G713" s="188">
        <f t="shared" si="239"/>
        <v>286426.98</v>
      </c>
      <c r="H713" s="188">
        <f t="shared" si="239"/>
        <v>0</v>
      </c>
      <c r="I713" s="231">
        <f t="shared" si="239"/>
        <v>14678283</v>
      </c>
      <c r="J713" s="577">
        <f t="shared" si="239"/>
        <v>13303157</v>
      </c>
      <c r="K713" s="28"/>
    </row>
    <row r="714" spans="1:11" s="18" customFormat="1" ht="12.75">
      <c r="A714" s="229" t="str">
        <f t="shared" ref="A714:J714" si="240">A623</f>
        <v>900</v>
      </c>
      <c r="B714" s="229">
        <f t="shared" si="240"/>
        <v>0</v>
      </c>
      <c r="C714" s="229" t="str">
        <f t="shared" si="240"/>
        <v>GOSPODARKA KOMUNALNA I OCHRONA ŚRODOWISKA</v>
      </c>
      <c r="D714" s="230">
        <f t="shared" si="240"/>
        <v>11000</v>
      </c>
      <c r="E714" s="230">
        <f t="shared" si="240"/>
        <v>11000</v>
      </c>
      <c r="F714" s="188">
        <f t="shared" si="240"/>
        <v>5000</v>
      </c>
      <c r="G714" s="188">
        <f t="shared" si="240"/>
        <v>0</v>
      </c>
      <c r="H714" s="188">
        <f t="shared" si="240"/>
        <v>0</v>
      </c>
      <c r="I714" s="231">
        <f t="shared" si="240"/>
        <v>36000</v>
      </c>
      <c r="J714" s="577">
        <f t="shared" si="240"/>
        <v>11000</v>
      </c>
      <c r="K714" s="28"/>
    </row>
    <row r="715" spans="1:11" s="18" customFormat="1" ht="12.75">
      <c r="A715" s="229">
        <f t="shared" ref="A715:J715" si="241">A630</f>
        <v>921</v>
      </c>
      <c r="B715" s="229">
        <f t="shared" si="241"/>
        <v>0</v>
      </c>
      <c r="C715" s="229" t="str">
        <f t="shared" si="241"/>
        <v>Kultura i ochrona dziedzictwa narodowego</v>
      </c>
      <c r="D715" s="230">
        <f t="shared" si="241"/>
        <v>65000</v>
      </c>
      <c r="E715" s="230">
        <f t="shared" si="241"/>
        <v>65000</v>
      </c>
      <c r="F715" s="188">
        <f t="shared" si="241"/>
        <v>65000</v>
      </c>
      <c r="G715" s="188">
        <f t="shared" si="241"/>
        <v>0</v>
      </c>
      <c r="H715" s="188">
        <f t="shared" si="241"/>
        <v>0</v>
      </c>
      <c r="I715" s="231">
        <f t="shared" si="241"/>
        <v>67000</v>
      </c>
      <c r="J715" s="577">
        <f t="shared" si="241"/>
        <v>67000</v>
      </c>
      <c r="K715" s="28"/>
    </row>
    <row r="716" spans="1:11" s="18" customFormat="1" ht="12.75">
      <c r="A716" s="229">
        <f t="shared" ref="A716:J716" si="242">A642</f>
        <v>926</v>
      </c>
      <c r="B716" s="229">
        <f t="shared" si="242"/>
        <v>0</v>
      </c>
      <c r="C716" s="229" t="str">
        <f t="shared" si="242"/>
        <v xml:space="preserve">Kultura fizyczna </v>
      </c>
      <c r="D716" s="230">
        <f t="shared" si="242"/>
        <v>3553000</v>
      </c>
      <c r="E716" s="230">
        <f t="shared" si="242"/>
        <v>3570500</v>
      </c>
      <c r="F716" s="188">
        <f t="shared" si="242"/>
        <v>3584455.38</v>
      </c>
      <c r="G716" s="188">
        <f t="shared" si="242"/>
        <v>0</v>
      </c>
      <c r="H716" s="188">
        <f t="shared" si="242"/>
        <v>0</v>
      </c>
      <c r="I716" s="231">
        <f t="shared" si="242"/>
        <v>4351607</v>
      </c>
      <c r="J716" s="577">
        <f t="shared" si="242"/>
        <v>3740763.15</v>
      </c>
      <c r="K716" s="28"/>
    </row>
    <row r="717" spans="1:11" s="18" customFormat="1" ht="12.75">
      <c r="A717" s="232"/>
      <c r="B717" s="233"/>
      <c r="C717" s="172"/>
      <c r="D717" s="230">
        <f t="shared" ref="D717" si="243">SUM(D700:D716)</f>
        <v>147016657</v>
      </c>
      <c r="E717" s="230">
        <f t="shared" ref="E717:J717" si="244">SUM(E700:E716)</f>
        <v>155627119.61000001</v>
      </c>
      <c r="F717" s="188">
        <f t="shared" si="244"/>
        <v>149707259.59</v>
      </c>
      <c r="G717" s="188">
        <f t="shared" si="244"/>
        <v>1647201.54</v>
      </c>
      <c r="H717" s="188">
        <f t="shared" si="244"/>
        <v>71261</v>
      </c>
      <c r="I717" s="188">
        <f t="shared" si="244"/>
        <v>171837466.16</v>
      </c>
      <c r="J717" s="577">
        <f t="shared" si="244"/>
        <v>164543973.41</v>
      </c>
      <c r="K717" s="28"/>
    </row>
    <row r="718" spans="1:11">
      <c r="E718" s="366"/>
    </row>
  </sheetData>
  <autoFilter ref="A696:J717" xr:uid="{78807CFD-146C-4ABB-8DE5-38E778ABD25E}">
    <filterColumn colId="3" showButton="0"/>
    <filterColumn colId="4" showButton="0"/>
    <filterColumn colId="7" showButton="0"/>
    <filterColumn colId="8" showButton="0"/>
  </autoFilter>
  <mergeCells count="73">
    <mergeCell ref="I697:I698"/>
    <mergeCell ref="J697:J698"/>
    <mergeCell ref="D699:I699"/>
    <mergeCell ref="B105:B119"/>
    <mergeCell ref="A696:A699"/>
    <mergeCell ref="B696:B699"/>
    <mergeCell ref="C696:C699"/>
    <mergeCell ref="D696:F696"/>
    <mergeCell ref="H696:J696"/>
    <mergeCell ref="D697:D698"/>
    <mergeCell ref="E697:E698"/>
    <mergeCell ref="F697:F698"/>
    <mergeCell ref="G697:G698"/>
    <mergeCell ref="H697:H698"/>
    <mergeCell ref="A643:A668"/>
    <mergeCell ref="B644:B650"/>
    <mergeCell ref="B657:B668"/>
    <mergeCell ref="A669:C669"/>
    <mergeCell ref="A673:J673"/>
    <mergeCell ref="B688:B691"/>
    <mergeCell ref="B558:B559"/>
    <mergeCell ref="B612:B622"/>
    <mergeCell ref="B625:B629"/>
    <mergeCell ref="B638:B641"/>
    <mergeCell ref="B561:B564"/>
    <mergeCell ref="B569:B573"/>
    <mergeCell ref="B576:B591"/>
    <mergeCell ref="B477:B478"/>
    <mergeCell ref="B515:B537"/>
    <mergeCell ref="A532:A556"/>
    <mergeCell ref="B539:B550"/>
    <mergeCell ref="B552:B553"/>
    <mergeCell ref="B555:B556"/>
    <mergeCell ref="B426:B432"/>
    <mergeCell ref="A444:A470"/>
    <mergeCell ref="B445:B446"/>
    <mergeCell ref="B462:B463"/>
    <mergeCell ref="B467:B470"/>
    <mergeCell ref="B448:B459"/>
    <mergeCell ref="B434:B442"/>
    <mergeCell ref="B416:B422"/>
    <mergeCell ref="A89:A133"/>
    <mergeCell ref="B90:B95"/>
    <mergeCell ref="B97:B100"/>
    <mergeCell ref="B121:B124"/>
    <mergeCell ref="B128:B133"/>
    <mergeCell ref="B153:B154"/>
    <mergeCell ref="B404:B414"/>
    <mergeCell ref="A337:A370"/>
    <mergeCell ref="B340:B351"/>
    <mergeCell ref="B356:B382"/>
    <mergeCell ref="B84:B85"/>
    <mergeCell ref="H8:H9"/>
    <mergeCell ref="J8:J9"/>
    <mergeCell ref="D10:I10"/>
    <mergeCell ref="A13:A19"/>
    <mergeCell ref="B14:B15"/>
    <mergeCell ref="B18:B19"/>
    <mergeCell ref="A47:A67"/>
    <mergeCell ref="B52:B54"/>
    <mergeCell ref="B61:B67"/>
    <mergeCell ref="B68:B70"/>
    <mergeCell ref="B76:B79"/>
    <mergeCell ref="A1:F4"/>
    <mergeCell ref="A7:A10"/>
    <mergeCell ref="B7:B10"/>
    <mergeCell ref="C7:C10"/>
    <mergeCell ref="D7:F7"/>
    <mergeCell ref="H7:J7"/>
    <mergeCell ref="D8:D9"/>
    <mergeCell ref="E8:E9"/>
    <mergeCell ref="F8:F9"/>
    <mergeCell ref="G8:G9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F4C45-2210-4E36-9CD7-0667E7F9005F}">
  <dimension ref="A1:O123"/>
  <sheetViews>
    <sheetView zoomScaleNormal="100" workbookViewId="0">
      <selection sqref="A1:J118"/>
    </sheetView>
  </sheetViews>
  <sheetFormatPr defaultRowHeight="12.75"/>
  <cols>
    <col min="1" max="1" width="4.85546875" style="240" customWidth="1"/>
    <col min="2" max="3" width="7.140625" style="240" customWidth="1"/>
    <col min="4" max="4" width="52.42578125" style="303" customWidth="1"/>
    <col min="5" max="5" width="13.140625" style="304" customWidth="1"/>
    <col min="6" max="6" width="12.5703125" style="305" customWidth="1"/>
    <col min="7" max="7" width="12.42578125" style="240" bestFit="1" customWidth="1"/>
    <col min="8" max="8" width="15" style="308" customWidth="1"/>
    <col min="9" max="9" width="13.85546875" style="240" customWidth="1"/>
    <col min="10" max="10" width="15" style="308" customWidth="1"/>
    <col min="11" max="11" width="10.140625" style="240" bestFit="1" customWidth="1"/>
    <col min="12" max="13" width="12.7109375" style="240" bestFit="1" customWidth="1"/>
    <col min="14" max="14" width="11" style="240" bestFit="1" customWidth="1"/>
    <col min="15" max="256" width="9.140625" style="240"/>
    <col min="257" max="257" width="4.85546875" style="240" customWidth="1"/>
    <col min="258" max="259" width="7.140625" style="240" customWidth="1"/>
    <col min="260" max="260" width="52.42578125" style="240" customWidth="1"/>
    <col min="261" max="261" width="13.140625" style="240" customWidth="1"/>
    <col min="262" max="262" width="12.5703125" style="240" customWidth="1"/>
    <col min="263" max="263" width="12.42578125" style="240" bestFit="1" customWidth="1"/>
    <col min="264" max="264" width="15" style="240" customWidth="1"/>
    <col min="265" max="265" width="13.85546875" style="240" customWidth="1"/>
    <col min="266" max="266" width="15.28515625" style="240" customWidth="1"/>
    <col min="267" max="269" width="10.140625" style="240" bestFit="1" customWidth="1"/>
    <col min="270" max="270" width="8.85546875" style="240" bestFit="1" customWidth="1"/>
    <col min="271" max="512" width="9.140625" style="240"/>
    <col min="513" max="513" width="4.85546875" style="240" customWidth="1"/>
    <col min="514" max="515" width="7.140625" style="240" customWidth="1"/>
    <col min="516" max="516" width="52.42578125" style="240" customWidth="1"/>
    <col min="517" max="517" width="13.140625" style="240" customWidth="1"/>
    <col min="518" max="518" width="12.5703125" style="240" customWidth="1"/>
    <col min="519" max="519" width="12.42578125" style="240" bestFit="1" customWidth="1"/>
    <col min="520" max="520" width="15" style="240" customWidth="1"/>
    <col min="521" max="521" width="13.85546875" style="240" customWidth="1"/>
    <col min="522" max="522" width="15.28515625" style="240" customWidth="1"/>
    <col min="523" max="525" width="10.140625" style="240" bestFit="1" customWidth="1"/>
    <col min="526" max="526" width="8.85546875" style="240" bestFit="1" customWidth="1"/>
    <col min="527" max="768" width="9.140625" style="240"/>
    <col min="769" max="769" width="4.85546875" style="240" customWidth="1"/>
    <col min="770" max="771" width="7.140625" style="240" customWidth="1"/>
    <col min="772" max="772" width="52.42578125" style="240" customWidth="1"/>
    <col min="773" max="773" width="13.140625" style="240" customWidth="1"/>
    <col min="774" max="774" width="12.5703125" style="240" customWidth="1"/>
    <col min="775" max="775" width="12.42578125" style="240" bestFit="1" customWidth="1"/>
    <col min="776" max="776" width="15" style="240" customWidth="1"/>
    <col min="777" max="777" width="13.85546875" style="240" customWidth="1"/>
    <col min="778" max="778" width="15.28515625" style="240" customWidth="1"/>
    <col min="779" max="781" width="10.140625" style="240" bestFit="1" customWidth="1"/>
    <col min="782" max="782" width="8.85546875" style="240" bestFit="1" customWidth="1"/>
    <col min="783" max="1024" width="9.140625" style="240"/>
    <col min="1025" max="1025" width="4.85546875" style="240" customWidth="1"/>
    <col min="1026" max="1027" width="7.140625" style="240" customWidth="1"/>
    <col min="1028" max="1028" width="52.42578125" style="240" customWidth="1"/>
    <col min="1029" max="1029" width="13.140625" style="240" customWidth="1"/>
    <col min="1030" max="1030" width="12.5703125" style="240" customWidth="1"/>
    <col min="1031" max="1031" width="12.42578125" style="240" bestFit="1" customWidth="1"/>
    <col min="1032" max="1032" width="15" style="240" customWidth="1"/>
    <col min="1033" max="1033" width="13.85546875" style="240" customWidth="1"/>
    <col min="1034" max="1034" width="15.28515625" style="240" customWidth="1"/>
    <col min="1035" max="1037" width="10.140625" style="240" bestFit="1" customWidth="1"/>
    <col min="1038" max="1038" width="8.85546875" style="240" bestFit="1" customWidth="1"/>
    <col min="1039" max="1280" width="9.140625" style="240"/>
    <col min="1281" max="1281" width="4.85546875" style="240" customWidth="1"/>
    <col min="1282" max="1283" width="7.140625" style="240" customWidth="1"/>
    <col min="1284" max="1284" width="52.42578125" style="240" customWidth="1"/>
    <col min="1285" max="1285" width="13.140625" style="240" customWidth="1"/>
    <col min="1286" max="1286" width="12.5703125" style="240" customWidth="1"/>
    <col min="1287" max="1287" width="12.42578125" style="240" bestFit="1" customWidth="1"/>
    <col min="1288" max="1288" width="15" style="240" customWidth="1"/>
    <col min="1289" max="1289" width="13.85546875" style="240" customWidth="1"/>
    <col min="1290" max="1290" width="15.28515625" style="240" customWidth="1"/>
    <col min="1291" max="1293" width="10.140625" style="240" bestFit="1" customWidth="1"/>
    <col min="1294" max="1294" width="8.85546875" style="240" bestFit="1" customWidth="1"/>
    <col min="1295" max="1536" width="9.140625" style="240"/>
    <col min="1537" max="1537" width="4.85546875" style="240" customWidth="1"/>
    <col min="1538" max="1539" width="7.140625" style="240" customWidth="1"/>
    <col min="1540" max="1540" width="52.42578125" style="240" customWidth="1"/>
    <col min="1541" max="1541" width="13.140625" style="240" customWidth="1"/>
    <col min="1542" max="1542" width="12.5703125" style="240" customWidth="1"/>
    <col min="1543" max="1543" width="12.42578125" style="240" bestFit="1" customWidth="1"/>
    <col min="1544" max="1544" width="15" style="240" customWidth="1"/>
    <col min="1545" max="1545" width="13.85546875" style="240" customWidth="1"/>
    <col min="1546" max="1546" width="15.28515625" style="240" customWidth="1"/>
    <col min="1547" max="1549" width="10.140625" style="240" bestFit="1" customWidth="1"/>
    <col min="1550" max="1550" width="8.85546875" style="240" bestFit="1" customWidth="1"/>
    <col min="1551" max="1792" width="9.140625" style="240"/>
    <col min="1793" max="1793" width="4.85546875" style="240" customWidth="1"/>
    <col min="1794" max="1795" width="7.140625" style="240" customWidth="1"/>
    <col min="1796" max="1796" width="52.42578125" style="240" customWidth="1"/>
    <col min="1797" max="1797" width="13.140625" style="240" customWidth="1"/>
    <col min="1798" max="1798" width="12.5703125" style="240" customWidth="1"/>
    <col min="1799" max="1799" width="12.42578125" style="240" bestFit="1" customWidth="1"/>
    <col min="1800" max="1800" width="15" style="240" customWidth="1"/>
    <col min="1801" max="1801" width="13.85546875" style="240" customWidth="1"/>
    <col min="1802" max="1802" width="15.28515625" style="240" customWidth="1"/>
    <col min="1803" max="1805" width="10.140625" style="240" bestFit="1" customWidth="1"/>
    <col min="1806" max="1806" width="8.85546875" style="240" bestFit="1" customWidth="1"/>
    <col min="1807" max="2048" width="9.140625" style="240"/>
    <col min="2049" max="2049" width="4.85546875" style="240" customWidth="1"/>
    <col min="2050" max="2051" width="7.140625" style="240" customWidth="1"/>
    <col min="2052" max="2052" width="52.42578125" style="240" customWidth="1"/>
    <col min="2053" max="2053" width="13.140625" style="240" customWidth="1"/>
    <col min="2054" max="2054" width="12.5703125" style="240" customWidth="1"/>
    <col min="2055" max="2055" width="12.42578125" style="240" bestFit="1" customWidth="1"/>
    <col min="2056" max="2056" width="15" style="240" customWidth="1"/>
    <col min="2057" max="2057" width="13.85546875" style="240" customWidth="1"/>
    <col min="2058" max="2058" width="15.28515625" style="240" customWidth="1"/>
    <col min="2059" max="2061" width="10.140625" style="240" bestFit="1" customWidth="1"/>
    <col min="2062" max="2062" width="8.85546875" style="240" bestFit="1" customWidth="1"/>
    <col min="2063" max="2304" width="9.140625" style="240"/>
    <col min="2305" max="2305" width="4.85546875" style="240" customWidth="1"/>
    <col min="2306" max="2307" width="7.140625" style="240" customWidth="1"/>
    <col min="2308" max="2308" width="52.42578125" style="240" customWidth="1"/>
    <col min="2309" max="2309" width="13.140625" style="240" customWidth="1"/>
    <col min="2310" max="2310" width="12.5703125" style="240" customWidth="1"/>
    <col min="2311" max="2311" width="12.42578125" style="240" bestFit="1" customWidth="1"/>
    <col min="2312" max="2312" width="15" style="240" customWidth="1"/>
    <col min="2313" max="2313" width="13.85546875" style="240" customWidth="1"/>
    <col min="2314" max="2314" width="15.28515625" style="240" customWidth="1"/>
    <col min="2315" max="2317" width="10.140625" style="240" bestFit="1" customWidth="1"/>
    <col min="2318" max="2318" width="8.85546875" style="240" bestFit="1" customWidth="1"/>
    <col min="2319" max="2560" width="9.140625" style="240"/>
    <col min="2561" max="2561" width="4.85546875" style="240" customWidth="1"/>
    <col min="2562" max="2563" width="7.140625" style="240" customWidth="1"/>
    <col min="2564" max="2564" width="52.42578125" style="240" customWidth="1"/>
    <col min="2565" max="2565" width="13.140625" style="240" customWidth="1"/>
    <col min="2566" max="2566" width="12.5703125" style="240" customWidth="1"/>
    <col min="2567" max="2567" width="12.42578125" style="240" bestFit="1" customWidth="1"/>
    <col min="2568" max="2568" width="15" style="240" customWidth="1"/>
    <col min="2569" max="2569" width="13.85546875" style="240" customWidth="1"/>
    <col min="2570" max="2570" width="15.28515625" style="240" customWidth="1"/>
    <col min="2571" max="2573" width="10.140625" style="240" bestFit="1" customWidth="1"/>
    <col min="2574" max="2574" width="8.85546875" style="240" bestFit="1" customWidth="1"/>
    <col min="2575" max="2816" width="9.140625" style="240"/>
    <col min="2817" max="2817" width="4.85546875" style="240" customWidth="1"/>
    <col min="2818" max="2819" width="7.140625" style="240" customWidth="1"/>
    <col min="2820" max="2820" width="52.42578125" style="240" customWidth="1"/>
    <col min="2821" max="2821" width="13.140625" style="240" customWidth="1"/>
    <col min="2822" max="2822" width="12.5703125" style="240" customWidth="1"/>
    <col min="2823" max="2823" width="12.42578125" style="240" bestFit="1" customWidth="1"/>
    <col min="2824" max="2824" width="15" style="240" customWidth="1"/>
    <col min="2825" max="2825" width="13.85546875" style="240" customWidth="1"/>
    <col min="2826" max="2826" width="15.28515625" style="240" customWidth="1"/>
    <col min="2827" max="2829" width="10.140625" style="240" bestFit="1" customWidth="1"/>
    <col min="2830" max="2830" width="8.85546875" style="240" bestFit="1" customWidth="1"/>
    <col min="2831" max="3072" width="9.140625" style="240"/>
    <col min="3073" max="3073" width="4.85546875" style="240" customWidth="1"/>
    <col min="3074" max="3075" width="7.140625" style="240" customWidth="1"/>
    <col min="3076" max="3076" width="52.42578125" style="240" customWidth="1"/>
    <col min="3077" max="3077" width="13.140625" style="240" customWidth="1"/>
    <col min="3078" max="3078" width="12.5703125" style="240" customWidth="1"/>
    <col min="3079" max="3079" width="12.42578125" style="240" bestFit="1" customWidth="1"/>
    <col min="3080" max="3080" width="15" style="240" customWidth="1"/>
    <col min="3081" max="3081" width="13.85546875" style="240" customWidth="1"/>
    <col min="3082" max="3082" width="15.28515625" style="240" customWidth="1"/>
    <col min="3083" max="3085" width="10.140625" style="240" bestFit="1" customWidth="1"/>
    <col min="3086" max="3086" width="8.85546875" style="240" bestFit="1" customWidth="1"/>
    <col min="3087" max="3328" width="9.140625" style="240"/>
    <col min="3329" max="3329" width="4.85546875" style="240" customWidth="1"/>
    <col min="3330" max="3331" width="7.140625" style="240" customWidth="1"/>
    <col min="3332" max="3332" width="52.42578125" style="240" customWidth="1"/>
    <col min="3333" max="3333" width="13.140625" style="240" customWidth="1"/>
    <col min="3334" max="3334" width="12.5703125" style="240" customWidth="1"/>
    <col min="3335" max="3335" width="12.42578125" style="240" bestFit="1" customWidth="1"/>
    <col min="3336" max="3336" width="15" style="240" customWidth="1"/>
    <col min="3337" max="3337" width="13.85546875" style="240" customWidth="1"/>
    <col min="3338" max="3338" width="15.28515625" style="240" customWidth="1"/>
    <col min="3339" max="3341" width="10.140625" style="240" bestFit="1" customWidth="1"/>
    <col min="3342" max="3342" width="8.85546875" style="240" bestFit="1" customWidth="1"/>
    <col min="3343" max="3584" width="9.140625" style="240"/>
    <col min="3585" max="3585" width="4.85546875" style="240" customWidth="1"/>
    <col min="3586" max="3587" width="7.140625" style="240" customWidth="1"/>
    <col min="3588" max="3588" width="52.42578125" style="240" customWidth="1"/>
    <col min="3589" max="3589" width="13.140625" style="240" customWidth="1"/>
    <col min="3590" max="3590" width="12.5703125" style="240" customWidth="1"/>
    <col min="3591" max="3591" width="12.42578125" style="240" bestFit="1" customWidth="1"/>
    <col min="3592" max="3592" width="15" style="240" customWidth="1"/>
    <col min="3593" max="3593" width="13.85546875" style="240" customWidth="1"/>
    <col min="3594" max="3594" width="15.28515625" style="240" customWidth="1"/>
    <col min="3595" max="3597" width="10.140625" style="240" bestFit="1" customWidth="1"/>
    <col min="3598" max="3598" width="8.85546875" style="240" bestFit="1" customWidth="1"/>
    <col min="3599" max="3840" width="9.140625" style="240"/>
    <col min="3841" max="3841" width="4.85546875" style="240" customWidth="1"/>
    <col min="3842" max="3843" width="7.140625" style="240" customWidth="1"/>
    <col min="3844" max="3844" width="52.42578125" style="240" customWidth="1"/>
    <col min="3845" max="3845" width="13.140625" style="240" customWidth="1"/>
    <col min="3846" max="3846" width="12.5703125" style="240" customWidth="1"/>
    <col min="3847" max="3847" width="12.42578125" style="240" bestFit="1" customWidth="1"/>
    <col min="3848" max="3848" width="15" style="240" customWidth="1"/>
    <col min="3849" max="3849" width="13.85546875" style="240" customWidth="1"/>
    <col min="3850" max="3850" width="15.28515625" style="240" customWidth="1"/>
    <col min="3851" max="3853" width="10.140625" style="240" bestFit="1" customWidth="1"/>
    <col min="3854" max="3854" width="8.85546875" style="240" bestFit="1" customWidth="1"/>
    <col min="3855" max="4096" width="9.140625" style="240"/>
    <col min="4097" max="4097" width="4.85546875" style="240" customWidth="1"/>
    <col min="4098" max="4099" width="7.140625" style="240" customWidth="1"/>
    <col min="4100" max="4100" width="52.42578125" style="240" customWidth="1"/>
    <col min="4101" max="4101" width="13.140625" style="240" customWidth="1"/>
    <col min="4102" max="4102" width="12.5703125" style="240" customWidth="1"/>
    <col min="4103" max="4103" width="12.42578125" style="240" bestFit="1" customWidth="1"/>
    <col min="4104" max="4104" width="15" style="240" customWidth="1"/>
    <col min="4105" max="4105" width="13.85546875" style="240" customWidth="1"/>
    <col min="4106" max="4106" width="15.28515625" style="240" customWidth="1"/>
    <col min="4107" max="4109" width="10.140625" style="240" bestFit="1" customWidth="1"/>
    <col min="4110" max="4110" width="8.85546875" style="240" bestFit="1" customWidth="1"/>
    <col min="4111" max="4352" width="9.140625" style="240"/>
    <col min="4353" max="4353" width="4.85546875" style="240" customWidth="1"/>
    <col min="4354" max="4355" width="7.140625" style="240" customWidth="1"/>
    <col min="4356" max="4356" width="52.42578125" style="240" customWidth="1"/>
    <col min="4357" max="4357" width="13.140625" style="240" customWidth="1"/>
    <col min="4358" max="4358" width="12.5703125" style="240" customWidth="1"/>
    <col min="4359" max="4359" width="12.42578125" style="240" bestFit="1" customWidth="1"/>
    <col min="4360" max="4360" width="15" style="240" customWidth="1"/>
    <col min="4361" max="4361" width="13.85546875" style="240" customWidth="1"/>
    <col min="4362" max="4362" width="15.28515625" style="240" customWidth="1"/>
    <col min="4363" max="4365" width="10.140625" style="240" bestFit="1" customWidth="1"/>
    <col min="4366" max="4366" width="8.85546875" style="240" bestFit="1" customWidth="1"/>
    <col min="4367" max="4608" width="9.140625" style="240"/>
    <col min="4609" max="4609" width="4.85546875" style="240" customWidth="1"/>
    <col min="4610" max="4611" width="7.140625" style="240" customWidth="1"/>
    <col min="4612" max="4612" width="52.42578125" style="240" customWidth="1"/>
    <col min="4613" max="4613" width="13.140625" style="240" customWidth="1"/>
    <col min="4614" max="4614" width="12.5703125" style="240" customWidth="1"/>
    <col min="4615" max="4615" width="12.42578125" style="240" bestFit="1" customWidth="1"/>
    <col min="4616" max="4616" width="15" style="240" customWidth="1"/>
    <col min="4617" max="4617" width="13.85546875" style="240" customWidth="1"/>
    <col min="4618" max="4618" width="15.28515625" style="240" customWidth="1"/>
    <col min="4619" max="4621" width="10.140625" style="240" bestFit="1" customWidth="1"/>
    <col min="4622" max="4622" width="8.85546875" style="240" bestFit="1" customWidth="1"/>
    <col min="4623" max="4864" width="9.140625" style="240"/>
    <col min="4865" max="4865" width="4.85546875" style="240" customWidth="1"/>
    <col min="4866" max="4867" width="7.140625" style="240" customWidth="1"/>
    <col min="4868" max="4868" width="52.42578125" style="240" customWidth="1"/>
    <col min="4869" max="4869" width="13.140625" style="240" customWidth="1"/>
    <col min="4870" max="4870" width="12.5703125" style="240" customWidth="1"/>
    <col min="4871" max="4871" width="12.42578125" style="240" bestFit="1" customWidth="1"/>
    <col min="4872" max="4872" width="15" style="240" customWidth="1"/>
    <col min="4873" max="4873" width="13.85546875" style="240" customWidth="1"/>
    <col min="4874" max="4874" width="15.28515625" style="240" customWidth="1"/>
    <col min="4875" max="4877" width="10.140625" style="240" bestFit="1" customWidth="1"/>
    <col min="4878" max="4878" width="8.85546875" style="240" bestFit="1" customWidth="1"/>
    <col min="4879" max="5120" width="9.140625" style="240"/>
    <col min="5121" max="5121" width="4.85546875" style="240" customWidth="1"/>
    <col min="5122" max="5123" width="7.140625" style="240" customWidth="1"/>
    <col min="5124" max="5124" width="52.42578125" style="240" customWidth="1"/>
    <col min="5125" max="5125" width="13.140625" style="240" customWidth="1"/>
    <col min="5126" max="5126" width="12.5703125" style="240" customWidth="1"/>
    <col min="5127" max="5127" width="12.42578125" style="240" bestFit="1" customWidth="1"/>
    <col min="5128" max="5128" width="15" style="240" customWidth="1"/>
    <col min="5129" max="5129" width="13.85546875" style="240" customWidth="1"/>
    <col min="5130" max="5130" width="15.28515625" style="240" customWidth="1"/>
    <col min="5131" max="5133" width="10.140625" style="240" bestFit="1" customWidth="1"/>
    <col min="5134" max="5134" width="8.85546875" style="240" bestFit="1" customWidth="1"/>
    <col min="5135" max="5376" width="9.140625" style="240"/>
    <col min="5377" max="5377" width="4.85546875" style="240" customWidth="1"/>
    <col min="5378" max="5379" width="7.140625" style="240" customWidth="1"/>
    <col min="5380" max="5380" width="52.42578125" style="240" customWidth="1"/>
    <col min="5381" max="5381" width="13.140625" style="240" customWidth="1"/>
    <col min="5382" max="5382" width="12.5703125" style="240" customWidth="1"/>
    <col min="5383" max="5383" width="12.42578125" style="240" bestFit="1" customWidth="1"/>
    <col min="5384" max="5384" width="15" style="240" customWidth="1"/>
    <col min="5385" max="5385" width="13.85546875" style="240" customWidth="1"/>
    <col min="5386" max="5386" width="15.28515625" style="240" customWidth="1"/>
    <col min="5387" max="5389" width="10.140625" style="240" bestFit="1" customWidth="1"/>
    <col min="5390" max="5390" width="8.85546875" style="240" bestFit="1" customWidth="1"/>
    <col min="5391" max="5632" width="9.140625" style="240"/>
    <col min="5633" max="5633" width="4.85546875" style="240" customWidth="1"/>
    <col min="5634" max="5635" width="7.140625" style="240" customWidth="1"/>
    <col min="5636" max="5636" width="52.42578125" style="240" customWidth="1"/>
    <col min="5637" max="5637" width="13.140625" style="240" customWidth="1"/>
    <col min="5638" max="5638" width="12.5703125" style="240" customWidth="1"/>
    <col min="5639" max="5639" width="12.42578125" style="240" bestFit="1" customWidth="1"/>
    <col min="5640" max="5640" width="15" style="240" customWidth="1"/>
    <col min="5641" max="5641" width="13.85546875" style="240" customWidth="1"/>
    <col min="5642" max="5642" width="15.28515625" style="240" customWidth="1"/>
    <col min="5643" max="5645" width="10.140625" style="240" bestFit="1" customWidth="1"/>
    <col min="5646" max="5646" width="8.85546875" style="240" bestFit="1" customWidth="1"/>
    <col min="5647" max="5888" width="9.140625" style="240"/>
    <col min="5889" max="5889" width="4.85546875" style="240" customWidth="1"/>
    <col min="5890" max="5891" width="7.140625" style="240" customWidth="1"/>
    <col min="5892" max="5892" width="52.42578125" style="240" customWidth="1"/>
    <col min="5893" max="5893" width="13.140625" style="240" customWidth="1"/>
    <col min="5894" max="5894" width="12.5703125" style="240" customWidth="1"/>
    <col min="5895" max="5895" width="12.42578125" style="240" bestFit="1" customWidth="1"/>
    <col min="5896" max="5896" width="15" style="240" customWidth="1"/>
    <col min="5897" max="5897" width="13.85546875" style="240" customWidth="1"/>
    <col min="5898" max="5898" width="15.28515625" style="240" customWidth="1"/>
    <col min="5899" max="5901" width="10.140625" style="240" bestFit="1" customWidth="1"/>
    <col min="5902" max="5902" width="8.85546875" style="240" bestFit="1" customWidth="1"/>
    <col min="5903" max="6144" width="9.140625" style="240"/>
    <col min="6145" max="6145" width="4.85546875" style="240" customWidth="1"/>
    <col min="6146" max="6147" width="7.140625" style="240" customWidth="1"/>
    <col min="6148" max="6148" width="52.42578125" style="240" customWidth="1"/>
    <col min="6149" max="6149" width="13.140625" style="240" customWidth="1"/>
    <col min="6150" max="6150" width="12.5703125" style="240" customWidth="1"/>
    <col min="6151" max="6151" width="12.42578125" style="240" bestFit="1" customWidth="1"/>
    <col min="6152" max="6152" width="15" style="240" customWidth="1"/>
    <col min="6153" max="6153" width="13.85546875" style="240" customWidth="1"/>
    <col min="6154" max="6154" width="15.28515625" style="240" customWidth="1"/>
    <col min="6155" max="6157" width="10.140625" style="240" bestFit="1" customWidth="1"/>
    <col min="6158" max="6158" width="8.85546875" style="240" bestFit="1" customWidth="1"/>
    <col min="6159" max="6400" width="9.140625" style="240"/>
    <col min="6401" max="6401" width="4.85546875" style="240" customWidth="1"/>
    <col min="6402" max="6403" width="7.140625" style="240" customWidth="1"/>
    <col min="6404" max="6404" width="52.42578125" style="240" customWidth="1"/>
    <col min="6405" max="6405" width="13.140625" style="240" customWidth="1"/>
    <col min="6406" max="6406" width="12.5703125" style="240" customWidth="1"/>
    <col min="6407" max="6407" width="12.42578125" style="240" bestFit="1" customWidth="1"/>
    <col min="6408" max="6408" width="15" style="240" customWidth="1"/>
    <col min="6409" max="6409" width="13.85546875" style="240" customWidth="1"/>
    <col min="6410" max="6410" width="15.28515625" style="240" customWidth="1"/>
    <col min="6411" max="6413" width="10.140625" style="240" bestFit="1" customWidth="1"/>
    <col min="6414" max="6414" width="8.85546875" style="240" bestFit="1" customWidth="1"/>
    <col min="6415" max="6656" width="9.140625" style="240"/>
    <col min="6657" max="6657" width="4.85546875" style="240" customWidth="1"/>
    <col min="6658" max="6659" width="7.140625" style="240" customWidth="1"/>
    <col min="6660" max="6660" width="52.42578125" style="240" customWidth="1"/>
    <col min="6661" max="6661" width="13.140625" style="240" customWidth="1"/>
    <col min="6662" max="6662" width="12.5703125" style="240" customWidth="1"/>
    <col min="6663" max="6663" width="12.42578125" style="240" bestFit="1" customWidth="1"/>
    <col min="6664" max="6664" width="15" style="240" customWidth="1"/>
    <col min="6665" max="6665" width="13.85546875" style="240" customWidth="1"/>
    <col min="6666" max="6666" width="15.28515625" style="240" customWidth="1"/>
    <col min="6667" max="6669" width="10.140625" style="240" bestFit="1" customWidth="1"/>
    <col min="6670" max="6670" width="8.85546875" style="240" bestFit="1" customWidth="1"/>
    <col min="6671" max="6912" width="9.140625" style="240"/>
    <col min="6913" max="6913" width="4.85546875" style="240" customWidth="1"/>
    <col min="6914" max="6915" width="7.140625" style="240" customWidth="1"/>
    <col min="6916" max="6916" width="52.42578125" style="240" customWidth="1"/>
    <col min="6917" max="6917" width="13.140625" style="240" customWidth="1"/>
    <col min="6918" max="6918" width="12.5703125" style="240" customWidth="1"/>
    <col min="6919" max="6919" width="12.42578125" style="240" bestFit="1" customWidth="1"/>
    <col min="6920" max="6920" width="15" style="240" customWidth="1"/>
    <col min="6921" max="6921" width="13.85546875" style="240" customWidth="1"/>
    <col min="6922" max="6922" width="15.28515625" style="240" customWidth="1"/>
    <col min="6923" max="6925" width="10.140625" style="240" bestFit="1" customWidth="1"/>
    <col min="6926" max="6926" width="8.85546875" style="240" bestFit="1" customWidth="1"/>
    <col min="6927" max="7168" width="9.140625" style="240"/>
    <col min="7169" max="7169" width="4.85546875" style="240" customWidth="1"/>
    <col min="7170" max="7171" width="7.140625" style="240" customWidth="1"/>
    <col min="7172" max="7172" width="52.42578125" style="240" customWidth="1"/>
    <col min="7173" max="7173" width="13.140625" style="240" customWidth="1"/>
    <col min="7174" max="7174" width="12.5703125" style="240" customWidth="1"/>
    <col min="7175" max="7175" width="12.42578125" style="240" bestFit="1" customWidth="1"/>
    <col min="7176" max="7176" width="15" style="240" customWidth="1"/>
    <col min="7177" max="7177" width="13.85546875" style="240" customWidth="1"/>
    <col min="7178" max="7178" width="15.28515625" style="240" customWidth="1"/>
    <col min="7179" max="7181" width="10.140625" style="240" bestFit="1" customWidth="1"/>
    <col min="7182" max="7182" width="8.85546875" style="240" bestFit="1" customWidth="1"/>
    <col min="7183" max="7424" width="9.140625" style="240"/>
    <col min="7425" max="7425" width="4.85546875" style="240" customWidth="1"/>
    <col min="7426" max="7427" width="7.140625" style="240" customWidth="1"/>
    <col min="7428" max="7428" width="52.42578125" style="240" customWidth="1"/>
    <col min="7429" max="7429" width="13.140625" style="240" customWidth="1"/>
    <col min="7430" max="7430" width="12.5703125" style="240" customWidth="1"/>
    <col min="7431" max="7431" width="12.42578125" style="240" bestFit="1" customWidth="1"/>
    <col min="7432" max="7432" width="15" style="240" customWidth="1"/>
    <col min="7433" max="7433" width="13.85546875" style="240" customWidth="1"/>
    <col min="7434" max="7434" width="15.28515625" style="240" customWidth="1"/>
    <col min="7435" max="7437" width="10.140625" style="240" bestFit="1" customWidth="1"/>
    <col min="7438" max="7438" width="8.85546875" style="240" bestFit="1" customWidth="1"/>
    <col min="7439" max="7680" width="9.140625" style="240"/>
    <col min="7681" max="7681" width="4.85546875" style="240" customWidth="1"/>
    <col min="7682" max="7683" width="7.140625" style="240" customWidth="1"/>
    <col min="7684" max="7684" width="52.42578125" style="240" customWidth="1"/>
    <col min="7685" max="7685" width="13.140625" style="240" customWidth="1"/>
    <col min="7686" max="7686" width="12.5703125" style="240" customWidth="1"/>
    <col min="7687" max="7687" width="12.42578125" style="240" bestFit="1" customWidth="1"/>
    <col min="7688" max="7688" width="15" style="240" customWidth="1"/>
    <col min="7689" max="7689" width="13.85546875" style="240" customWidth="1"/>
    <col min="7690" max="7690" width="15.28515625" style="240" customWidth="1"/>
    <col min="7691" max="7693" width="10.140625" style="240" bestFit="1" customWidth="1"/>
    <col min="7694" max="7694" width="8.85546875" style="240" bestFit="1" customWidth="1"/>
    <col min="7695" max="7936" width="9.140625" style="240"/>
    <col min="7937" max="7937" width="4.85546875" style="240" customWidth="1"/>
    <col min="7938" max="7939" width="7.140625" style="240" customWidth="1"/>
    <col min="7940" max="7940" width="52.42578125" style="240" customWidth="1"/>
    <col min="7941" max="7941" width="13.140625" style="240" customWidth="1"/>
    <col min="7942" max="7942" width="12.5703125" style="240" customWidth="1"/>
    <col min="7943" max="7943" width="12.42578125" style="240" bestFit="1" customWidth="1"/>
    <col min="7944" max="7944" width="15" style="240" customWidth="1"/>
    <col min="7945" max="7945" width="13.85546875" style="240" customWidth="1"/>
    <col min="7946" max="7946" width="15.28515625" style="240" customWidth="1"/>
    <col min="7947" max="7949" width="10.140625" style="240" bestFit="1" customWidth="1"/>
    <col min="7950" max="7950" width="8.85546875" style="240" bestFit="1" customWidth="1"/>
    <col min="7951" max="8192" width="9.140625" style="240"/>
    <col min="8193" max="8193" width="4.85546875" style="240" customWidth="1"/>
    <col min="8194" max="8195" width="7.140625" style="240" customWidth="1"/>
    <col min="8196" max="8196" width="52.42578125" style="240" customWidth="1"/>
    <col min="8197" max="8197" width="13.140625" style="240" customWidth="1"/>
    <col min="8198" max="8198" width="12.5703125" style="240" customWidth="1"/>
    <col min="8199" max="8199" width="12.42578125" style="240" bestFit="1" customWidth="1"/>
    <col min="8200" max="8200" width="15" style="240" customWidth="1"/>
    <col min="8201" max="8201" width="13.85546875" style="240" customWidth="1"/>
    <col min="8202" max="8202" width="15.28515625" style="240" customWidth="1"/>
    <col min="8203" max="8205" width="10.140625" style="240" bestFit="1" customWidth="1"/>
    <col min="8206" max="8206" width="8.85546875" style="240" bestFit="1" customWidth="1"/>
    <col min="8207" max="8448" width="9.140625" style="240"/>
    <col min="8449" max="8449" width="4.85546875" style="240" customWidth="1"/>
    <col min="8450" max="8451" width="7.140625" style="240" customWidth="1"/>
    <col min="8452" max="8452" width="52.42578125" style="240" customWidth="1"/>
    <col min="8453" max="8453" width="13.140625" style="240" customWidth="1"/>
    <col min="8454" max="8454" width="12.5703125" style="240" customWidth="1"/>
    <col min="8455" max="8455" width="12.42578125" style="240" bestFit="1" customWidth="1"/>
    <col min="8456" max="8456" width="15" style="240" customWidth="1"/>
    <col min="8457" max="8457" width="13.85546875" style="240" customWidth="1"/>
    <col min="8458" max="8458" width="15.28515625" style="240" customWidth="1"/>
    <col min="8459" max="8461" width="10.140625" style="240" bestFit="1" customWidth="1"/>
    <col min="8462" max="8462" width="8.85546875" style="240" bestFit="1" customWidth="1"/>
    <col min="8463" max="8704" width="9.140625" style="240"/>
    <col min="8705" max="8705" width="4.85546875" style="240" customWidth="1"/>
    <col min="8706" max="8707" width="7.140625" style="240" customWidth="1"/>
    <col min="8708" max="8708" width="52.42578125" style="240" customWidth="1"/>
    <col min="8709" max="8709" width="13.140625" style="240" customWidth="1"/>
    <col min="8710" max="8710" width="12.5703125" style="240" customWidth="1"/>
    <col min="8711" max="8711" width="12.42578125" style="240" bestFit="1" customWidth="1"/>
    <col min="8712" max="8712" width="15" style="240" customWidth="1"/>
    <col min="8713" max="8713" width="13.85546875" style="240" customWidth="1"/>
    <col min="8714" max="8714" width="15.28515625" style="240" customWidth="1"/>
    <col min="8715" max="8717" width="10.140625" style="240" bestFit="1" customWidth="1"/>
    <col min="8718" max="8718" width="8.85546875" style="240" bestFit="1" customWidth="1"/>
    <col min="8719" max="8960" width="9.140625" style="240"/>
    <col min="8961" max="8961" width="4.85546875" style="240" customWidth="1"/>
    <col min="8962" max="8963" width="7.140625" style="240" customWidth="1"/>
    <col min="8964" max="8964" width="52.42578125" style="240" customWidth="1"/>
    <col min="8965" max="8965" width="13.140625" style="240" customWidth="1"/>
    <col min="8966" max="8966" width="12.5703125" style="240" customWidth="1"/>
    <col min="8967" max="8967" width="12.42578125" style="240" bestFit="1" customWidth="1"/>
    <col min="8968" max="8968" width="15" style="240" customWidth="1"/>
    <col min="8969" max="8969" width="13.85546875" style="240" customWidth="1"/>
    <col min="8970" max="8970" width="15.28515625" style="240" customWidth="1"/>
    <col min="8971" max="8973" width="10.140625" style="240" bestFit="1" customWidth="1"/>
    <col min="8974" max="8974" width="8.85546875" style="240" bestFit="1" customWidth="1"/>
    <col min="8975" max="9216" width="9.140625" style="240"/>
    <col min="9217" max="9217" width="4.85546875" style="240" customWidth="1"/>
    <col min="9218" max="9219" width="7.140625" style="240" customWidth="1"/>
    <col min="9220" max="9220" width="52.42578125" style="240" customWidth="1"/>
    <col min="9221" max="9221" width="13.140625" style="240" customWidth="1"/>
    <col min="9222" max="9222" width="12.5703125" style="240" customWidth="1"/>
    <col min="9223" max="9223" width="12.42578125" style="240" bestFit="1" customWidth="1"/>
    <col min="9224" max="9224" width="15" style="240" customWidth="1"/>
    <col min="9225" max="9225" width="13.85546875" style="240" customWidth="1"/>
    <col min="9226" max="9226" width="15.28515625" style="240" customWidth="1"/>
    <col min="9227" max="9229" width="10.140625" style="240" bestFit="1" customWidth="1"/>
    <col min="9230" max="9230" width="8.85546875" style="240" bestFit="1" customWidth="1"/>
    <col min="9231" max="9472" width="9.140625" style="240"/>
    <col min="9473" max="9473" width="4.85546875" style="240" customWidth="1"/>
    <col min="9474" max="9475" width="7.140625" style="240" customWidth="1"/>
    <col min="9476" max="9476" width="52.42578125" style="240" customWidth="1"/>
    <col min="9477" max="9477" width="13.140625" style="240" customWidth="1"/>
    <col min="9478" max="9478" width="12.5703125" style="240" customWidth="1"/>
    <col min="9479" max="9479" width="12.42578125" style="240" bestFit="1" customWidth="1"/>
    <col min="9480" max="9480" width="15" style="240" customWidth="1"/>
    <col min="9481" max="9481" width="13.85546875" style="240" customWidth="1"/>
    <col min="9482" max="9482" width="15.28515625" style="240" customWidth="1"/>
    <col min="9483" max="9485" width="10.140625" style="240" bestFit="1" customWidth="1"/>
    <col min="9486" max="9486" width="8.85546875" style="240" bestFit="1" customWidth="1"/>
    <col min="9487" max="9728" width="9.140625" style="240"/>
    <col min="9729" max="9729" width="4.85546875" style="240" customWidth="1"/>
    <col min="9730" max="9731" width="7.140625" style="240" customWidth="1"/>
    <col min="9732" max="9732" width="52.42578125" style="240" customWidth="1"/>
    <col min="9733" max="9733" width="13.140625" style="240" customWidth="1"/>
    <col min="9734" max="9734" width="12.5703125" style="240" customWidth="1"/>
    <col min="9735" max="9735" width="12.42578125" style="240" bestFit="1" customWidth="1"/>
    <col min="9736" max="9736" width="15" style="240" customWidth="1"/>
    <col min="9737" max="9737" width="13.85546875" style="240" customWidth="1"/>
    <col min="9738" max="9738" width="15.28515625" style="240" customWidth="1"/>
    <col min="9739" max="9741" width="10.140625" style="240" bestFit="1" customWidth="1"/>
    <col min="9742" max="9742" width="8.85546875" style="240" bestFit="1" customWidth="1"/>
    <col min="9743" max="9984" width="9.140625" style="240"/>
    <col min="9985" max="9985" width="4.85546875" style="240" customWidth="1"/>
    <col min="9986" max="9987" width="7.140625" style="240" customWidth="1"/>
    <col min="9988" max="9988" width="52.42578125" style="240" customWidth="1"/>
    <col min="9989" max="9989" width="13.140625" style="240" customWidth="1"/>
    <col min="9990" max="9990" width="12.5703125" style="240" customWidth="1"/>
    <col min="9991" max="9991" width="12.42578125" style="240" bestFit="1" customWidth="1"/>
    <col min="9992" max="9992" width="15" style="240" customWidth="1"/>
    <col min="9993" max="9993" width="13.85546875" style="240" customWidth="1"/>
    <col min="9994" max="9994" width="15.28515625" style="240" customWidth="1"/>
    <col min="9995" max="9997" width="10.140625" style="240" bestFit="1" customWidth="1"/>
    <col min="9998" max="9998" width="8.85546875" style="240" bestFit="1" customWidth="1"/>
    <col min="9999" max="10240" width="9.140625" style="240"/>
    <col min="10241" max="10241" width="4.85546875" style="240" customWidth="1"/>
    <col min="10242" max="10243" width="7.140625" style="240" customWidth="1"/>
    <col min="10244" max="10244" width="52.42578125" style="240" customWidth="1"/>
    <col min="10245" max="10245" width="13.140625" style="240" customWidth="1"/>
    <col min="10246" max="10246" width="12.5703125" style="240" customWidth="1"/>
    <col min="10247" max="10247" width="12.42578125" style="240" bestFit="1" customWidth="1"/>
    <col min="10248" max="10248" width="15" style="240" customWidth="1"/>
    <col min="10249" max="10249" width="13.85546875" style="240" customWidth="1"/>
    <col min="10250" max="10250" width="15.28515625" style="240" customWidth="1"/>
    <col min="10251" max="10253" width="10.140625" style="240" bestFit="1" customWidth="1"/>
    <col min="10254" max="10254" width="8.85546875" style="240" bestFit="1" customWidth="1"/>
    <col min="10255" max="10496" width="9.140625" style="240"/>
    <col min="10497" max="10497" width="4.85546875" style="240" customWidth="1"/>
    <col min="10498" max="10499" width="7.140625" style="240" customWidth="1"/>
    <col min="10500" max="10500" width="52.42578125" style="240" customWidth="1"/>
    <col min="10501" max="10501" width="13.140625" style="240" customWidth="1"/>
    <col min="10502" max="10502" width="12.5703125" style="240" customWidth="1"/>
    <col min="10503" max="10503" width="12.42578125" style="240" bestFit="1" customWidth="1"/>
    <col min="10504" max="10504" width="15" style="240" customWidth="1"/>
    <col min="10505" max="10505" width="13.85546875" style="240" customWidth="1"/>
    <col min="10506" max="10506" width="15.28515625" style="240" customWidth="1"/>
    <col min="10507" max="10509" width="10.140625" style="240" bestFit="1" customWidth="1"/>
    <col min="10510" max="10510" width="8.85546875" style="240" bestFit="1" customWidth="1"/>
    <col min="10511" max="10752" width="9.140625" style="240"/>
    <col min="10753" max="10753" width="4.85546875" style="240" customWidth="1"/>
    <col min="10754" max="10755" width="7.140625" style="240" customWidth="1"/>
    <col min="10756" max="10756" width="52.42578125" style="240" customWidth="1"/>
    <col min="10757" max="10757" width="13.140625" style="240" customWidth="1"/>
    <col min="10758" max="10758" width="12.5703125" style="240" customWidth="1"/>
    <col min="10759" max="10759" width="12.42578125" style="240" bestFit="1" customWidth="1"/>
    <col min="10760" max="10760" width="15" style="240" customWidth="1"/>
    <col min="10761" max="10761" width="13.85546875" style="240" customWidth="1"/>
    <col min="10762" max="10762" width="15.28515625" style="240" customWidth="1"/>
    <col min="10763" max="10765" width="10.140625" style="240" bestFit="1" customWidth="1"/>
    <col min="10766" max="10766" width="8.85546875" style="240" bestFit="1" customWidth="1"/>
    <col min="10767" max="11008" width="9.140625" style="240"/>
    <col min="11009" max="11009" width="4.85546875" style="240" customWidth="1"/>
    <col min="11010" max="11011" width="7.140625" style="240" customWidth="1"/>
    <col min="11012" max="11012" width="52.42578125" style="240" customWidth="1"/>
    <col min="11013" max="11013" width="13.140625" style="240" customWidth="1"/>
    <col min="11014" max="11014" width="12.5703125" style="240" customWidth="1"/>
    <col min="11015" max="11015" width="12.42578125" style="240" bestFit="1" customWidth="1"/>
    <col min="11016" max="11016" width="15" style="240" customWidth="1"/>
    <col min="11017" max="11017" width="13.85546875" style="240" customWidth="1"/>
    <col min="11018" max="11018" width="15.28515625" style="240" customWidth="1"/>
    <col min="11019" max="11021" width="10.140625" style="240" bestFit="1" customWidth="1"/>
    <col min="11022" max="11022" width="8.85546875" style="240" bestFit="1" customWidth="1"/>
    <col min="11023" max="11264" width="9.140625" style="240"/>
    <col min="11265" max="11265" width="4.85546875" style="240" customWidth="1"/>
    <col min="11266" max="11267" width="7.140625" style="240" customWidth="1"/>
    <col min="11268" max="11268" width="52.42578125" style="240" customWidth="1"/>
    <col min="11269" max="11269" width="13.140625" style="240" customWidth="1"/>
    <col min="11270" max="11270" width="12.5703125" style="240" customWidth="1"/>
    <col min="11271" max="11271" width="12.42578125" style="240" bestFit="1" customWidth="1"/>
    <col min="11272" max="11272" width="15" style="240" customWidth="1"/>
    <col min="11273" max="11273" width="13.85546875" style="240" customWidth="1"/>
    <col min="11274" max="11274" width="15.28515625" style="240" customWidth="1"/>
    <col min="11275" max="11277" width="10.140625" style="240" bestFit="1" customWidth="1"/>
    <col min="11278" max="11278" width="8.85546875" style="240" bestFit="1" customWidth="1"/>
    <col min="11279" max="11520" width="9.140625" style="240"/>
    <col min="11521" max="11521" width="4.85546875" style="240" customWidth="1"/>
    <col min="11522" max="11523" width="7.140625" style="240" customWidth="1"/>
    <col min="11524" max="11524" width="52.42578125" style="240" customWidth="1"/>
    <col min="11525" max="11525" width="13.140625" style="240" customWidth="1"/>
    <col min="11526" max="11526" width="12.5703125" style="240" customWidth="1"/>
    <col min="11527" max="11527" width="12.42578125" style="240" bestFit="1" customWidth="1"/>
    <col min="11528" max="11528" width="15" style="240" customWidth="1"/>
    <col min="11529" max="11529" width="13.85546875" style="240" customWidth="1"/>
    <col min="11530" max="11530" width="15.28515625" style="240" customWidth="1"/>
    <col min="11531" max="11533" width="10.140625" style="240" bestFit="1" customWidth="1"/>
    <col min="11534" max="11534" width="8.85546875" style="240" bestFit="1" customWidth="1"/>
    <col min="11535" max="11776" width="9.140625" style="240"/>
    <col min="11777" max="11777" width="4.85546875" style="240" customWidth="1"/>
    <col min="11778" max="11779" width="7.140625" style="240" customWidth="1"/>
    <col min="11780" max="11780" width="52.42578125" style="240" customWidth="1"/>
    <col min="11781" max="11781" width="13.140625" style="240" customWidth="1"/>
    <col min="11782" max="11782" width="12.5703125" style="240" customWidth="1"/>
    <col min="11783" max="11783" width="12.42578125" style="240" bestFit="1" customWidth="1"/>
    <col min="11784" max="11784" width="15" style="240" customWidth="1"/>
    <col min="11785" max="11785" width="13.85546875" style="240" customWidth="1"/>
    <col min="11786" max="11786" width="15.28515625" style="240" customWidth="1"/>
    <col min="11787" max="11789" width="10.140625" style="240" bestFit="1" customWidth="1"/>
    <col min="11790" max="11790" width="8.85546875" style="240" bestFit="1" customWidth="1"/>
    <col min="11791" max="12032" width="9.140625" style="240"/>
    <col min="12033" max="12033" width="4.85546875" style="240" customWidth="1"/>
    <col min="12034" max="12035" width="7.140625" style="240" customWidth="1"/>
    <col min="12036" max="12036" width="52.42578125" style="240" customWidth="1"/>
    <col min="12037" max="12037" width="13.140625" style="240" customWidth="1"/>
    <col min="12038" max="12038" width="12.5703125" style="240" customWidth="1"/>
    <col min="12039" max="12039" width="12.42578125" style="240" bestFit="1" customWidth="1"/>
    <col min="12040" max="12040" width="15" style="240" customWidth="1"/>
    <col min="12041" max="12041" width="13.85546875" style="240" customWidth="1"/>
    <col min="12042" max="12042" width="15.28515625" style="240" customWidth="1"/>
    <col min="12043" max="12045" width="10.140625" style="240" bestFit="1" customWidth="1"/>
    <col min="12046" max="12046" width="8.85546875" style="240" bestFit="1" customWidth="1"/>
    <col min="12047" max="12288" width="9.140625" style="240"/>
    <col min="12289" max="12289" width="4.85546875" style="240" customWidth="1"/>
    <col min="12290" max="12291" width="7.140625" style="240" customWidth="1"/>
    <col min="12292" max="12292" width="52.42578125" style="240" customWidth="1"/>
    <col min="12293" max="12293" width="13.140625" style="240" customWidth="1"/>
    <col min="12294" max="12294" width="12.5703125" style="240" customWidth="1"/>
    <col min="12295" max="12295" width="12.42578125" style="240" bestFit="1" customWidth="1"/>
    <col min="12296" max="12296" width="15" style="240" customWidth="1"/>
    <col min="12297" max="12297" width="13.85546875" style="240" customWidth="1"/>
    <col min="12298" max="12298" width="15.28515625" style="240" customWidth="1"/>
    <col min="12299" max="12301" width="10.140625" style="240" bestFit="1" customWidth="1"/>
    <col min="12302" max="12302" width="8.85546875" style="240" bestFit="1" customWidth="1"/>
    <col min="12303" max="12544" width="9.140625" style="240"/>
    <col min="12545" max="12545" width="4.85546875" style="240" customWidth="1"/>
    <col min="12546" max="12547" width="7.140625" style="240" customWidth="1"/>
    <col min="12548" max="12548" width="52.42578125" style="240" customWidth="1"/>
    <col min="12549" max="12549" width="13.140625" style="240" customWidth="1"/>
    <col min="12550" max="12550" width="12.5703125" style="240" customWidth="1"/>
    <col min="12551" max="12551" width="12.42578125" style="240" bestFit="1" customWidth="1"/>
    <col min="12552" max="12552" width="15" style="240" customWidth="1"/>
    <col min="12553" max="12553" width="13.85546875" style="240" customWidth="1"/>
    <col min="12554" max="12554" width="15.28515625" style="240" customWidth="1"/>
    <col min="12555" max="12557" width="10.140625" style="240" bestFit="1" customWidth="1"/>
    <col min="12558" max="12558" width="8.85546875" style="240" bestFit="1" customWidth="1"/>
    <col min="12559" max="12800" width="9.140625" style="240"/>
    <col min="12801" max="12801" width="4.85546875" style="240" customWidth="1"/>
    <col min="12802" max="12803" width="7.140625" style="240" customWidth="1"/>
    <col min="12804" max="12804" width="52.42578125" style="240" customWidth="1"/>
    <col min="12805" max="12805" width="13.140625" style="240" customWidth="1"/>
    <col min="12806" max="12806" width="12.5703125" style="240" customWidth="1"/>
    <col min="12807" max="12807" width="12.42578125" style="240" bestFit="1" customWidth="1"/>
    <col min="12808" max="12808" width="15" style="240" customWidth="1"/>
    <col min="12809" max="12809" width="13.85546875" style="240" customWidth="1"/>
    <col min="12810" max="12810" width="15.28515625" style="240" customWidth="1"/>
    <col min="12811" max="12813" width="10.140625" style="240" bestFit="1" customWidth="1"/>
    <col min="12814" max="12814" width="8.85546875" style="240" bestFit="1" customWidth="1"/>
    <col min="12815" max="13056" width="9.140625" style="240"/>
    <col min="13057" max="13057" width="4.85546875" style="240" customWidth="1"/>
    <col min="13058" max="13059" width="7.140625" style="240" customWidth="1"/>
    <col min="13060" max="13060" width="52.42578125" style="240" customWidth="1"/>
    <col min="13061" max="13061" width="13.140625" style="240" customWidth="1"/>
    <col min="13062" max="13062" width="12.5703125" style="240" customWidth="1"/>
    <col min="13063" max="13063" width="12.42578125" style="240" bestFit="1" customWidth="1"/>
    <col min="13064" max="13064" width="15" style="240" customWidth="1"/>
    <col min="13065" max="13065" width="13.85546875" style="240" customWidth="1"/>
    <col min="13066" max="13066" width="15.28515625" style="240" customWidth="1"/>
    <col min="13067" max="13069" width="10.140625" style="240" bestFit="1" customWidth="1"/>
    <col min="13070" max="13070" width="8.85546875" style="240" bestFit="1" customWidth="1"/>
    <col min="13071" max="13312" width="9.140625" style="240"/>
    <col min="13313" max="13313" width="4.85546875" style="240" customWidth="1"/>
    <col min="13314" max="13315" width="7.140625" style="240" customWidth="1"/>
    <col min="13316" max="13316" width="52.42578125" style="240" customWidth="1"/>
    <col min="13317" max="13317" width="13.140625" style="240" customWidth="1"/>
    <col min="13318" max="13318" width="12.5703125" style="240" customWidth="1"/>
    <col min="13319" max="13319" width="12.42578125" style="240" bestFit="1" customWidth="1"/>
    <col min="13320" max="13320" width="15" style="240" customWidth="1"/>
    <col min="13321" max="13321" width="13.85546875" style="240" customWidth="1"/>
    <col min="13322" max="13322" width="15.28515625" style="240" customWidth="1"/>
    <col min="13323" max="13325" width="10.140625" style="240" bestFit="1" customWidth="1"/>
    <col min="13326" max="13326" width="8.85546875" style="240" bestFit="1" customWidth="1"/>
    <col min="13327" max="13568" width="9.140625" style="240"/>
    <col min="13569" max="13569" width="4.85546875" style="240" customWidth="1"/>
    <col min="13570" max="13571" width="7.140625" style="240" customWidth="1"/>
    <col min="13572" max="13572" width="52.42578125" style="240" customWidth="1"/>
    <col min="13573" max="13573" width="13.140625" style="240" customWidth="1"/>
    <col min="13574" max="13574" width="12.5703125" style="240" customWidth="1"/>
    <col min="13575" max="13575" width="12.42578125" style="240" bestFit="1" customWidth="1"/>
    <col min="13576" max="13576" width="15" style="240" customWidth="1"/>
    <col min="13577" max="13577" width="13.85546875" style="240" customWidth="1"/>
    <col min="13578" max="13578" width="15.28515625" style="240" customWidth="1"/>
    <col min="13579" max="13581" width="10.140625" style="240" bestFit="1" customWidth="1"/>
    <col min="13582" max="13582" width="8.85546875" style="240" bestFit="1" customWidth="1"/>
    <col min="13583" max="13824" width="9.140625" style="240"/>
    <col min="13825" max="13825" width="4.85546875" style="240" customWidth="1"/>
    <col min="13826" max="13827" width="7.140625" style="240" customWidth="1"/>
    <col min="13828" max="13828" width="52.42578125" style="240" customWidth="1"/>
    <col min="13829" max="13829" width="13.140625" style="240" customWidth="1"/>
    <col min="13830" max="13830" width="12.5703125" style="240" customWidth="1"/>
    <col min="13831" max="13831" width="12.42578125" style="240" bestFit="1" customWidth="1"/>
    <col min="13832" max="13832" width="15" style="240" customWidth="1"/>
    <col min="13833" max="13833" width="13.85546875" style="240" customWidth="1"/>
    <col min="13834" max="13834" width="15.28515625" style="240" customWidth="1"/>
    <col min="13835" max="13837" width="10.140625" style="240" bestFit="1" customWidth="1"/>
    <col min="13838" max="13838" width="8.85546875" style="240" bestFit="1" customWidth="1"/>
    <col min="13839" max="14080" width="9.140625" style="240"/>
    <col min="14081" max="14081" width="4.85546875" style="240" customWidth="1"/>
    <col min="14082" max="14083" width="7.140625" style="240" customWidth="1"/>
    <col min="14084" max="14084" width="52.42578125" style="240" customWidth="1"/>
    <col min="14085" max="14085" width="13.140625" style="240" customWidth="1"/>
    <col min="14086" max="14086" width="12.5703125" style="240" customWidth="1"/>
    <col min="14087" max="14087" width="12.42578125" style="240" bestFit="1" customWidth="1"/>
    <col min="14088" max="14088" width="15" style="240" customWidth="1"/>
    <col min="14089" max="14089" width="13.85546875" style="240" customWidth="1"/>
    <col min="14090" max="14090" width="15.28515625" style="240" customWidth="1"/>
    <col min="14091" max="14093" width="10.140625" style="240" bestFit="1" customWidth="1"/>
    <col min="14094" max="14094" width="8.85546875" style="240" bestFit="1" customWidth="1"/>
    <col min="14095" max="14336" width="9.140625" style="240"/>
    <col min="14337" max="14337" width="4.85546875" style="240" customWidth="1"/>
    <col min="14338" max="14339" width="7.140625" style="240" customWidth="1"/>
    <col min="14340" max="14340" width="52.42578125" style="240" customWidth="1"/>
    <col min="14341" max="14341" width="13.140625" style="240" customWidth="1"/>
    <col min="14342" max="14342" width="12.5703125" style="240" customWidth="1"/>
    <col min="14343" max="14343" width="12.42578125" style="240" bestFit="1" customWidth="1"/>
    <col min="14344" max="14344" width="15" style="240" customWidth="1"/>
    <col min="14345" max="14345" width="13.85546875" style="240" customWidth="1"/>
    <col min="14346" max="14346" width="15.28515625" style="240" customWidth="1"/>
    <col min="14347" max="14349" width="10.140625" style="240" bestFit="1" customWidth="1"/>
    <col min="14350" max="14350" width="8.85546875" style="240" bestFit="1" customWidth="1"/>
    <col min="14351" max="14592" width="9.140625" style="240"/>
    <col min="14593" max="14593" width="4.85546875" style="240" customWidth="1"/>
    <col min="14594" max="14595" width="7.140625" style="240" customWidth="1"/>
    <col min="14596" max="14596" width="52.42578125" style="240" customWidth="1"/>
    <col min="14597" max="14597" width="13.140625" style="240" customWidth="1"/>
    <col min="14598" max="14598" width="12.5703125" style="240" customWidth="1"/>
    <col min="14599" max="14599" width="12.42578125" style="240" bestFit="1" customWidth="1"/>
    <col min="14600" max="14600" width="15" style="240" customWidth="1"/>
    <col min="14601" max="14601" width="13.85546875" style="240" customWidth="1"/>
    <col min="14602" max="14602" width="15.28515625" style="240" customWidth="1"/>
    <col min="14603" max="14605" width="10.140625" style="240" bestFit="1" customWidth="1"/>
    <col min="14606" max="14606" width="8.85546875" style="240" bestFit="1" customWidth="1"/>
    <col min="14607" max="14848" width="9.140625" style="240"/>
    <col min="14849" max="14849" width="4.85546875" style="240" customWidth="1"/>
    <col min="14850" max="14851" width="7.140625" style="240" customWidth="1"/>
    <col min="14852" max="14852" width="52.42578125" style="240" customWidth="1"/>
    <col min="14853" max="14853" width="13.140625" style="240" customWidth="1"/>
    <col min="14854" max="14854" width="12.5703125" style="240" customWidth="1"/>
    <col min="14855" max="14855" width="12.42578125" style="240" bestFit="1" customWidth="1"/>
    <col min="14856" max="14856" width="15" style="240" customWidth="1"/>
    <col min="14857" max="14857" width="13.85546875" style="240" customWidth="1"/>
    <col min="14858" max="14858" width="15.28515625" style="240" customWidth="1"/>
    <col min="14859" max="14861" width="10.140625" style="240" bestFit="1" customWidth="1"/>
    <col min="14862" max="14862" width="8.85546875" style="240" bestFit="1" customWidth="1"/>
    <col min="14863" max="15104" width="9.140625" style="240"/>
    <col min="15105" max="15105" width="4.85546875" style="240" customWidth="1"/>
    <col min="15106" max="15107" width="7.140625" style="240" customWidth="1"/>
    <col min="15108" max="15108" width="52.42578125" style="240" customWidth="1"/>
    <col min="15109" max="15109" width="13.140625" style="240" customWidth="1"/>
    <col min="15110" max="15110" width="12.5703125" style="240" customWidth="1"/>
    <col min="15111" max="15111" width="12.42578125" style="240" bestFit="1" customWidth="1"/>
    <col min="15112" max="15112" width="15" style="240" customWidth="1"/>
    <col min="15113" max="15113" width="13.85546875" style="240" customWidth="1"/>
    <col min="15114" max="15114" width="15.28515625" style="240" customWidth="1"/>
    <col min="15115" max="15117" width="10.140625" style="240" bestFit="1" customWidth="1"/>
    <col min="15118" max="15118" width="8.85546875" style="240" bestFit="1" customWidth="1"/>
    <col min="15119" max="15360" width="9.140625" style="240"/>
    <col min="15361" max="15361" width="4.85546875" style="240" customWidth="1"/>
    <col min="15362" max="15363" width="7.140625" style="240" customWidth="1"/>
    <col min="15364" max="15364" width="52.42578125" style="240" customWidth="1"/>
    <col min="15365" max="15365" width="13.140625" style="240" customWidth="1"/>
    <col min="15366" max="15366" width="12.5703125" style="240" customWidth="1"/>
    <col min="15367" max="15367" width="12.42578125" style="240" bestFit="1" customWidth="1"/>
    <col min="15368" max="15368" width="15" style="240" customWidth="1"/>
    <col min="15369" max="15369" width="13.85546875" style="240" customWidth="1"/>
    <col min="15370" max="15370" width="15.28515625" style="240" customWidth="1"/>
    <col min="15371" max="15373" width="10.140625" style="240" bestFit="1" customWidth="1"/>
    <col min="15374" max="15374" width="8.85546875" style="240" bestFit="1" customWidth="1"/>
    <col min="15375" max="15616" width="9.140625" style="240"/>
    <col min="15617" max="15617" width="4.85546875" style="240" customWidth="1"/>
    <col min="15618" max="15619" width="7.140625" style="240" customWidth="1"/>
    <col min="15620" max="15620" width="52.42578125" style="240" customWidth="1"/>
    <col min="15621" max="15621" width="13.140625" style="240" customWidth="1"/>
    <col min="15622" max="15622" width="12.5703125" style="240" customWidth="1"/>
    <col min="15623" max="15623" width="12.42578125" style="240" bestFit="1" customWidth="1"/>
    <col min="15624" max="15624" width="15" style="240" customWidth="1"/>
    <col min="15625" max="15625" width="13.85546875" style="240" customWidth="1"/>
    <col min="15626" max="15626" width="15.28515625" style="240" customWidth="1"/>
    <col min="15627" max="15629" width="10.140625" style="240" bestFit="1" customWidth="1"/>
    <col min="15630" max="15630" width="8.85546875" style="240" bestFit="1" customWidth="1"/>
    <col min="15631" max="15872" width="9.140625" style="240"/>
    <col min="15873" max="15873" width="4.85546875" style="240" customWidth="1"/>
    <col min="15874" max="15875" width="7.140625" style="240" customWidth="1"/>
    <col min="15876" max="15876" width="52.42578125" style="240" customWidth="1"/>
    <col min="15877" max="15877" width="13.140625" style="240" customWidth="1"/>
    <col min="15878" max="15878" width="12.5703125" style="240" customWidth="1"/>
    <col min="15879" max="15879" width="12.42578125" style="240" bestFit="1" customWidth="1"/>
    <col min="15880" max="15880" width="15" style="240" customWidth="1"/>
    <col min="15881" max="15881" width="13.85546875" style="240" customWidth="1"/>
    <col min="15882" max="15882" width="15.28515625" style="240" customWidth="1"/>
    <col min="15883" max="15885" width="10.140625" style="240" bestFit="1" customWidth="1"/>
    <col min="15886" max="15886" width="8.85546875" style="240" bestFit="1" customWidth="1"/>
    <col min="15887" max="16128" width="9.140625" style="240"/>
    <col min="16129" max="16129" width="4.85546875" style="240" customWidth="1"/>
    <col min="16130" max="16131" width="7.140625" style="240" customWidth="1"/>
    <col min="16132" max="16132" width="52.42578125" style="240" customWidth="1"/>
    <col min="16133" max="16133" width="13.140625" style="240" customWidth="1"/>
    <col min="16134" max="16134" width="12.5703125" style="240" customWidth="1"/>
    <col min="16135" max="16135" width="12.42578125" style="240" bestFit="1" customWidth="1"/>
    <col min="16136" max="16136" width="15" style="240" customWidth="1"/>
    <col min="16137" max="16137" width="13.85546875" style="240" customWidth="1"/>
    <col min="16138" max="16138" width="15.28515625" style="240" customWidth="1"/>
    <col min="16139" max="16141" width="10.140625" style="240" bestFit="1" customWidth="1"/>
    <col min="16142" max="16142" width="8.85546875" style="240" bestFit="1" customWidth="1"/>
    <col min="16143" max="16384" width="9.140625" style="240"/>
  </cols>
  <sheetData>
    <row r="1" spans="1:12">
      <c r="A1" s="690" t="s">
        <v>821</v>
      </c>
      <c r="B1" s="691"/>
      <c r="C1" s="691"/>
      <c r="D1" s="691"/>
      <c r="E1" s="691"/>
      <c r="F1" s="691"/>
      <c r="G1" s="691"/>
      <c r="H1" s="691"/>
      <c r="I1" s="238" t="s">
        <v>324</v>
      </c>
      <c r="J1" s="239"/>
    </row>
    <row r="2" spans="1:12">
      <c r="A2" s="691"/>
      <c r="B2" s="691"/>
      <c r="C2" s="691"/>
      <c r="D2" s="691"/>
      <c r="E2" s="691"/>
      <c r="F2" s="691"/>
      <c r="G2" s="691"/>
      <c r="H2" s="691"/>
      <c r="I2" s="238" t="s">
        <v>221</v>
      </c>
      <c r="J2" s="239"/>
    </row>
    <row r="3" spans="1:12">
      <c r="A3" s="691"/>
      <c r="B3" s="691"/>
      <c r="C3" s="691"/>
      <c r="D3" s="691"/>
      <c r="E3" s="691"/>
      <c r="F3" s="691"/>
      <c r="G3" s="691"/>
      <c r="H3" s="691"/>
      <c r="I3" s="238" t="s">
        <v>701</v>
      </c>
      <c r="J3" s="239"/>
    </row>
    <row r="4" spans="1:12">
      <c r="A4" s="691"/>
      <c r="B4" s="691"/>
      <c r="C4" s="691"/>
      <c r="D4" s="691"/>
      <c r="E4" s="691"/>
      <c r="F4" s="691"/>
      <c r="G4" s="691"/>
      <c r="H4" s="691"/>
      <c r="I4" s="241"/>
      <c r="J4" s="242"/>
    </row>
    <row r="5" spans="1:12">
      <c r="A5" s="237"/>
      <c r="B5" s="237"/>
      <c r="C5" s="237"/>
      <c r="D5" s="237"/>
      <c r="E5" s="237"/>
      <c r="F5" s="243"/>
      <c r="G5" s="237"/>
      <c r="H5" s="237"/>
      <c r="I5" s="241"/>
      <c r="J5" s="237"/>
    </row>
    <row r="6" spans="1:12">
      <c r="A6" s="244"/>
      <c r="B6" s="244"/>
      <c r="C6" s="244"/>
      <c r="D6" s="244"/>
      <c r="E6" s="244"/>
      <c r="F6" s="245"/>
      <c r="G6" s="244"/>
      <c r="H6" s="244"/>
      <c r="I6" s="246"/>
      <c r="J6" s="244"/>
    </row>
    <row r="7" spans="1:12" ht="30.75" customHeight="1">
      <c r="A7" s="692" t="s">
        <v>2</v>
      </c>
      <c r="B7" s="692" t="s">
        <v>3</v>
      </c>
      <c r="C7" s="692" t="s">
        <v>4</v>
      </c>
      <c r="D7" s="693" t="s">
        <v>5</v>
      </c>
      <c r="E7" s="694" t="s">
        <v>779</v>
      </c>
      <c r="F7" s="694"/>
      <c r="G7" s="694"/>
      <c r="H7" s="695" t="s">
        <v>780</v>
      </c>
      <c r="I7" s="695"/>
      <c r="J7" s="329"/>
    </row>
    <row r="8" spans="1:12" ht="12.75" customHeight="1">
      <c r="A8" s="692"/>
      <c r="B8" s="692"/>
      <c r="C8" s="692"/>
      <c r="D8" s="693"/>
      <c r="E8" s="614" t="s">
        <v>8</v>
      </c>
      <c r="F8" s="696" t="s">
        <v>325</v>
      </c>
      <c r="G8" s="614" t="s">
        <v>10</v>
      </c>
      <c r="H8" s="614" t="s">
        <v>326</v>
      </c>
      <c r="I8" s="614" t="s">
        <v>327</v>
      </c>
      <c r="J8" s="614" t="s">
        <v>328</v>
      </c>
    </row>
    <row r="9" spans="1:12" ht="18.75" customHeight="1">
      <c r="A9" s="692"/>
      <c r="B9" s="692"/>
      <c r="C9" s="692"/>
      <c r="D9" s="693"/>
      <c r="E9" s="614"/>
      <c r="F9" s="697"/>
      <c r="G9" s="614"/>
      <c r="H9" s="614"/>
      <c r="I9" s="614"/>
      <c r="J9" s="614"/>
    </row>
    <row r="10" spans="1:12">
      <c r="A10" s="692"/>
      <c r="B10" s="692"/>
      <c r="C10" s="692"/>
      <c r="D10" s="693"/>
      <c r="E10" s="614" t="s">
        <v>11</v>
      </c>
      <c r="F10" s="614"/>
      <c r="G10" s="614"/>
      <c r="H10" s="614"/>
      <c r="I10" s="614"/>
      <c r="J10" s="571"/>
    </row>
    <row r="11" spans="1:12" s="108" customFormat="1">
      <c r="A11" s="247">
        <v>1</v>
      </c>
      <c r="B11" s="247">
        <v>2</v>
      </c>
      <c r="C11" s="247">
        <v>3</v>
      </c>
      <c r="D11" s="247">
        <v>4</v>
      </c>
      <c r="E11" s="247">
        <v>5</v>
      </c>
      <c r="F11" s="247">
        <v>6</v>
      </c>
      <c r="G11" s="247">
        <v>7</v>
      </c>
      <c r="H11" s="247">
        <v>8</v>
      </c>
      <c r="I11" s="247">
        <v>9</v>
      </c>
      <c r="J11" s="247">
        <v>10</v>
      </c>
    </row>
    <row r="12" spans="1:12" s="74" customFormat="1">
      <c r="A12" s="76">
        <v>700</v>
      </c>
      <c r="B12" s="248"/>
      <c r="C12" s="248"/>
      <c r="D12" s="249" t="s">
        <v>329</v>
      </c>
      <c r="E12" s="250">
        <f t="shared" ref="E12:I12" si="0">E13</f>
        <v>150264</v>
      </c>
      <c r="F12" s="250">
        <f t="shared" si="0"/>
        <v>284991</v>
      </c>
      <c r="G12" s="250">
        <f t="shared" si="0"/>
        <v>774026.57000000007</v>
      </c>
      <c r="H12" s="250">
        <f t="shared" si="0"/>
        <v>229303</v>
      </c>
      <c r="I12" s="250">
        <f t="shared" si="0"/>
        <v>229303</v>
      </c>
      <c r="J12" s="250">
        <f>H12</f>
        <v>229303</v>
      </c>
      <c r="L12" s="104"/>
    </row>
    <row r="13" spans="1:12" s="74" customFormat="1" ht="13.5">
      <c r="A13" s="251"/>
      <c r="B13" s="76">
        <v>70005</v>
      </c>
      <c r="C13" s="248"/>
      <c r="D13" s="252" t="s">
        <v>30</v>
      </c>
      <c r="E13" s="253">
        <f t="shared" ref="E13:I13" si="1">E14+E16</f>
        <v>150264</v>
      </c>
      <c r="F13" s="253">
        <f t="shared" si="1"/>
        <v>284991</v>
      </c>
      <c r="G13" s="253">
        <f t="shared" si="1"/>
        <v>774026.57000000007</v>
      </c>
      <c r="H13" s="253">
        <f t="shared" si="1"/>
        <v>229303</v>
      </c>
      <c r="I13" s="253">
        <f t="shared" si="1"/>
        <v>229303</v>
      </c>
      <c r="J13" s="253">
        <f t="shared" ref="J13:J76" si="2">H13</f>
        <v>229303</v>
      </c>
    </row>
    <row r="14" spans="1:12" s="74" customFormat="1" ht="13.5">
      <c r="A14" s="254"/>
      <c r="B14" s="255"/>
      <c r="C14" s="256"/>
      <c r="D14" s="330" t="s">
        <v>232</v>
      </c>
      <c r="E14" s="79">
        <f t="shared" ref="E14:I14" si="3">E15</f>
        <v>128264</v>
      </c>
      <c r="F14" s="79">
        <f t="shared" si="3"/>
        <v>162678</v>
      </c>
      <c r="G14" s="79">
        <f t="shared" si="3"/>
        <v>774026.57000000007</v>
      </c>
      <c r="H14" s="79">
        <f t="shared" si="3"/>
        <v>172303</v>
      </c>
      <c r="I14" s="79">
        <f t="shared" si="3"/>
        <v>172303</v>
      </c>
      <c r="J14" s="79">
        <f t="shared" si="2"/>
        <v>172303</v>
      </c>
    </row>
    <row r="15" spans="1:12" s="74" customFormat="1">
      <c r="A15" s="254"/>
      <c r="B15" s="257"/>
      <c r="C15" s="258"/>
      <c r="D15" s="331" t="s">
        <v>230</v>
      </c>
      <c r="E15" s="97">
        <v>128264</v>
      </c>
      <c r="F15" s="97">
        <f>'[3]Wykonanie 8 2025'!I286</f>
        <v>162678</v>
      </c>
      <c r="G15" s="97">
        <f>652111.9+112164.67+9750</f>
        <v>774026.57000000007</v>
      </c>
      <c r="H15" s="97">
        <f>I15</f>
        <v>172303</v>
      </c>
      <c r="I15" s="97">
        <f>168814+3489</f>
        <v>172303</v>
      </c>
      <c r="J15" s="97">
        <f t="shared" si="2"/>
        <v>172303</v>
      </c>
      <c r="L15" s="259"/>
    </row>
    <row r="16" spans="1:12" s="74" customFormat="1" ht="13.5">
      <c r="A16" s="254"/>
      <c r="B16" s="257"/>
      <c r="C16" s="260"/>
      <c r="D16" s="261" t="s">
        <v>646</v>
      </c>
      <c r="E16" s="103">
        <f>E18</f>
        <v>22000</v>
      </c>
      <c r="F16" s="103">
        <f>F17+F18</f>
        <v>122313</v>
      </c>
      <c r="G16" s="103">
        <f>G17+G18</f>
        <v>0</v>
      </c>
      <c r="H16" s="103">
        <f>H17+H18</f>
        <v>57000</v>
      </c>
      <c r="I16" s="103">
        <f>I17+I18</f>
        <v>57000</v>
      </c>
      <c r="J16" s="103">
        <f t="shared" si="2"/>
        <v>57000</v>
      </c>
    </row>
    <row r="17" spans="1:15" s="74" customFormat="1">
      <c r="A17" s="254"/>
      <c r="B17" s="257"/>
      <c r="C17" s="258"/>
      <c r="D17" s="331" t="s">
        <v>230</v>
      </c>
      <c r="E17" s="262">
        <v>0</v>
      </c>
      <c r="F17" s="262">
        <v>0</v>
      </c>
      <c r="G17" s="262">
        <v>0</v>
      </c>
      <c r="H17" s="262">
        <f>I17</f>
        <v>0</v>
      </c>
      <c r="I17" s="262">
        <v>0</v>
      </c>
      <c r="J17" s="262">
        <f t="shared" si="2"/>
        <v>0</v>
      </c>
    </row>
    <row r="18" spans="1:15" s="74" customFormat="1">
      <c r="A18" s="254"/>
      <c r="B18" s="257"/>
      <c r="C18" s="682"/>
      <c r="D18" s="331" t="s">
        <v>226</v>
      </c>
      <c r="E18" s="262">
        <v>22000</v>
      </c>
      <c r="F18" s="262">
        <f>'[3]Wykonanie 8 2025'!I292+'[3]Wykonanie 8 2025'!I298+'[3]Wykonanie 8 2025'!I300+'[3]Wykonanie 8 2025'!I301+'[3]Wykonanie 8 2025'!I304+'[3]Wykonanie 8 2025'!I306+'[3]Wykonanie 8 2025'!I313</f>
        <v>122313</v>
      </c>
      <c r="G18" s="262"/>
      <c r="H18" s="262">
        <f t="shared" ref="H18:H19" si="4">I18</f>
        <v>57000</v>
      </c>
      <c r="I18" s="262">
        <v>57000</v>
      </c>
      <c r="J18" s="262">
        <f t="shared" si="2"/>
        <v>57000</v>
      </c>
    </row>
    <row r="19" spans="1:15" s="74" customFormat="1">
      <c r="A19" s="263"/>
      <c r="B19" s="264"/>
      <c r="C19" s="683"/>
      <c r="D19" s="265" t="s">
        <v>330</v>
      </c>
      <c r="E19" s="262">
        <v>0</v>
      </c>
      <c r="F19" s="262">
        <v>0</v>
      </c>
      <c r="G19" s="262">
        <v>0</v>
      </c>
      <c r="H19" s="262">
        <f t="shared" si="4"/>
        <v>0</v>
      </c>
      <c r="I19" s="262">
        <v>0</v>
      </c>
      <c r="J19" s="262">
        <f t="shared" si="2"/>
        <v>0</v>
      </c>
    </row>
    <row r="20" spans="1:15" s="74" customFormat="1">
      <c r="A20" s="76">
        <v>710</v>
      </c>
      <c r="B20" s="248"/>
      <c r="C20" s="248"/>
      <c r="D20" s="249" t="s">
        <v>331</v>
      </c>
      <c r="E20" s="250">
        <f>E21+E35+E41+E32</f>
        <v>1088000</v>
      </c>
      <c r="F20" s="250">
        <f>F21+F35+F41</f>
        <v>1392500</v>
      </c>
      <c r="G20" s="250">
        <f>G21+G35+G41</f>
        <v>1046472</v>
      </c>
      <c r="H20" s="250">
        <f>H21+H32+H35+H41</f>
        <v>1122600</v>
      </c>
      <c r="I20" s="250">
        <f t="shared" ref="I20" si="5">I21+I32+I35+I41</f>
        <v>1189351</v>
      </c>
      <c r="J20" s="250">
        <f t="shared" si="2"/>
        <v>1122600</v>
      </c>
      <c r="O20" s="546"/>
    </row>
    <row r="21" spans="1:15" s="74" customFormat="1">
      <c r="A21" s="642"/>
      <c r="B21" s="76" t="s">
        <v>332</v>
      </c>
      <c r="C21" s="248"/>
      <c r="D21" s="332" t="s">
        <v>50</v>
      </c>
      <c r="E21" s="253">
        <f t="shared" ref="E21:I21" si="6">E22+E26+E29</f>
        <v>432000</v>
      </c>
      <c r="F21" s="253">
        <f t="shared" si="6"/>
        <v>557500</v>
      </c>
      <c r="G21" s="253">
        <f t="shared" si="6"/>
        <v>211472</v>
      </c>
      <c r="H21" s="253">
        <f t="shared" si="6"/>
        <v>163000</v>
      </c>
      <c r="I21" s="253">
        <f t="shared" si="6"/>
        <v>211473</v>
      </c>
      <c r="J21" s="253">
        <f t="shared" si="2"/>
        <v>163000</v>
      </c>
    </row>
    <row r="22" spans="1:15" s="74" customFormat="1" ht="13.5">
      <c r="A22" s="643"/>
      <c r="B22" s="642"/>
      <c r="C22" s="256"/>
      <c r="D22" s="333" t="s">
        <v>232</v>
      </c>
      <c r="E22" s="103">
        <f t="shared" ref="E22:I22" si="7">E23+E24+E25</f>
        <v>129000</v>
      </c>
      <c r="F22" s="103">
        <f t="shared" si="7"/>
        <v>211472</v>
      </c>
      <c r="G22" s="103">
        <f t="shared" si="7"/>
        <v>211472</v>
      </c>
      <c r="H22" s="103">
        <f t="shared" si="7"/>
        <v>163000</v>
      </c>
      <c r="I22" s="103">
        <f t="shared" si="7"/>
        <v>211473</v>
      </c>
      <c r="J22" s="103">
        <f t="shared" si="2"/>
        <v>163000</v>
      </c>
    </row>
    <row r="23" spans="1:15" s="74" customFormat="1">
      <c r="A23" s="643"/>
      <c r="B23" s="643"/>
      <c r="C23" s="334"/>
      <c r="D23" s="331" t="s">
        <v>230</v>
      </c>
      <c r="E23" s="262">
        <v>129000</v>
      </c>
      <c r="F23" s="262">
        <f>'[3]Wykonanie 8 2025'!I338</f>
        <v>211472</v>
      </c>
      <c r="G23" s="262">
        <f>F23</f>
        <v>211472</v>
      </c>
      <c r="H23" s="262">
        <v>163000</v>
      </c>
      <c r="I23" s="262">
        <v>211473</v>
      </c>
      <c r="J23" s="262">
        <f t="shared" si="2"/>
        <v>163000</v>
      </c>
    </row>
    <row r="24" spans="1:15" s="74" customFormat="1">
      <c r="A24" s="643"/>
      <c r="B24" s="643"/>
      <c r="C24" s="335"/>
      <c r="D24" s="331" t="s">
        <v>227</v>
      </c>
      <c r="E24" s="262">
        <v>0</v>
      </c>
      <c r="F24" s="262">
        <v>0</v>
      </c>
      <c r="G24" s="262">
        <f t="shared" ref="G24:G25" si="8">F24</f>
        <v>0</v>
      </c>
      <c r="H24" s="262">
        <v>0</v>
      </c>
      <c r="I24" s="262"/>
      <c r="J24" s="262">
        <f t="shared" si="2"/>
        <v>0</v>
      </c>
    </row>
    <row r="25" spans="1:15" s="74" customFormat="1">
      <c r="A25" s="643"/>
      <c r="B25" s="643"/>
      <c r="C25" s="336"/>
      <c r="D25" s="331" t="s">
        <v>226</v>
      </c>
      <c r="E25" s="262">
        <v>0</v>
      </c>
      <c r="F25" s="262">
        <v>0</v>
      </c>
      <c r="G25" s="262">
        <f t="shared" si="8"/>
        <v>0</v>
      </c>
      <c r="H25" s="262">
        <v>0</v>
      </c>
      <c r="I25" s="262"/>
      <c r="J25" s="262">
        <f t="shared" si="2"/>
        <v>0</v>
      </c>
    </row>
    <row r="26" spans="1:15" s="74" customFormat="1" ht="13.5">
      <c r="A26" s="643"/>
      <c r="B26" s="643"/>
      <c r="C26" s="256"/>
      <c r="D26" s="261" t="s">
        <v>333</v>
      </c>
      <c r="E26" s="103">
        <f t="shared" ref="E26:I26" si="9">E27+E28</f>
        <v>303000</v>
      </c>
      <c r="F26" s="103">
        <f t="shared" si="9"/>
        <v>346028</v>
      </c>
      <c r="G26" s="103">
        <f t="shared" si="9"/>
        <v>0</v>
      </c>
      <c r="H26" s="103">
        <f t="shared" si="9"/>
        <v>0</v>
      </c>
      <c r="I26" s="103">
        <f t="shared" si="9"/>
        <v>0</v>
      </c>
      <c r="J26" s="103">
        <f t="shared" si="2"/>
        <v>0</v>
      </c>
    </row>
    <row r="27" spans="1:15" s="74" customFormat="1">
      <c r="A27" s="643"/>
      <c r="B27" s="643"/>
      <c r="C27" s="285"/>
      <c r="D27" s="331" t="s">
        <v>226</v>
      </c>
      <c r="E27" s="262">
        <v>303000</v>
      </c>
      <c r="F27" s="262">
        <f>'[3]Wykonanie 8 2025'!I346</f>
        <v>346028</v>
      </c>
      <c r="G27" s="262"/>
      <c r="H27" s="262"/>
      <c r="I27" s="262"/>
      <c r="J27" s="262">
        <f t="shared" si="2"/>
        <v>0</v>
      </c>
    </row>
    <row r="28" spans="1:15" s="74" customFormat="1">
      <c r="A28" s="643"/>
      <c r="B28" s="643"/>
      <c r="C28" s="285"/>
      <c r="D28" s="265" t="s">
        <v>330</v>
      </c>
      <c r="E28" s="253">
        <v>0</v>
      </c>
      <c r="F28" s="253">
        <v>0</v>
      </c>
      <c r="G28" s="253">
        <v>0</v>
      </c>
      <c r="H28" s="253">
        <v>0</v>
      </c>
      <c r="I28" s="253">
        <v>0</v>
      </c>
      <c r="J28" s="253">
        <f t="shared" si="2"/>
        <v>0</v>
      </c>
    </row>
    <row r="29" spans="1:15" s="74" customFormat="1" ht="13.5">
      <c r="A29" s="643"/>
      <c r="B29" s="643"/>
      <c r="C29" s="256"/>
      <c r="D29" s="266" t="s">
        <v>334</v>
      </c>
      <c r="E29" s="103">
        <f t="shared" ref="E29:I29" si="10">E30+E31</f>
        <v>0</v>
      </c>
      <c r="F29" s="103">
        <f t="shared" si="10"/>
        <v>0</v>
      </c>
      <c r="G29" s="103">
        <f t="shared" si="10"/>
        <v>0</v>
      </c>
      <c r="H29" s="103">
        <f t="shared" si="10"/>
        <v>0</v>
      </c>
      <c r="I29" s="103">
        <f t="shared" si="10"/>
        <v>0</v>
      </c>
      <c r="J29" s="103">
        <f t="shared" si="2"/>
        <v>0</v>
      </c>
    </row>
    <row r="30" spans="1:15" s="74" customFormat="1">
      <c r="A30" s="643"/>
      <c r="B30" s="643"/>
      <c r="C30" s="285"/>
      <c r="D30" s="331" t="s">
        <v>226</v>
      </c>
      <c r="E30" s="262">
        <v>0</v>
      </c>
      <c r="F30" s="262">
        <v>0</v>
      </c>
      <c r="G30" s="262">
        <v>0</v>
      </c>
      <c r="H30" s="262">
        <v>0</v>
      </c>
      <c r="I30" s="262">
        <v>0</v>
      </c>
      <c r="J30" s="262">
        <f t="shared" si="2"/>
        <v>0</v>
      </c>
    </row>
    <row r="31" spans="1:15" s="74" customFormat="1">
      <c r="A31" s="643"/>
      <c r="B31" s="675"/>
      <c r="C31" s="285"/>
      <c r="D31" s="265" t="s">
        <v>330</v>
      </c>
      <c r="E31" s="253">
        <v>0</v>
      </c>
      <c r="F31" s="253">
        <v>0</v>
      </c>
      <c r="G31" s="253">
        <v>0</v>
      </c>
      <c r="H31" s="253">
        <v>0</v>
      </c>
      <c r="I31" s="253">
        <v>0</v>
      </c>
      <c r="J31" s="253">
        <f t="shared" si="2"/>
        <v>0</v>
      </c>
    </row>
    <row r="32" spans="1:15" s="74" customFormat="1">
      <c r="A32" s="643"/>
      <c r="B32" s="76" t="s">
        <v>785</v>
      </c>
      <c r="C32" s="248"/>
      <c r="D32" s="332"/>
      <c r="E32" s="253">
        <f>E33</f>
        <v>0</v>
      </c>
      <c r="F32" s="253">
        <f t="shared" ref="F32:I33" si="11">F33</f>
        <v>0</v>
      </c>
      <c r="G32" s="253">
        <f t="shared" si="11"/>
        <v>0</v>
      </c>
      <c r="H32" s="253">
        <f t="shared" si="11"/>
        <v>60000</v>
      </c>
      <c r="I32" s="253">
        <f t="shared" si="11"/>
        <v>0</v>
      </c>
      <c r="J32" s="253">
        <f t="shared" si="2"/>
        <v>60000</v>
      </c>
    </row>
    <row r="33" spans="1:14" s="74" customFormat="1" ht="13.5">
      <c r="A33" s="643"/>
      <c r="B33" s="545"/>
      <c r="C33" s="256"/>
      <c r="D33" s="261" t="s">
        <v>333</v>
      </c>
      <c r="E33" s="103">
        <f>E34</f>
        <v>0</v>
      </c>
      <c r="F33" s="103">
        <f t="shared" si="11"/>
        <v>0</v>
      </c>
      <c r="G33" s="103">
        <f t="shared" si="11"/>
        <v>0</v>
      </c>
      <c r="H33" s="103">
        <f t="shared" si="11"/>
        <v>60000</v>
      </c>
      <c r="I33" s="103">
        <f t="shared" si="11"/>
        <v>0</v>
      </c>
      <c r="J33" s="103">
        <f t="shared" si="2"/>
        <v>60000</v>
      </c>
    </row>
    <row r="34" spans="1:14" s="74" customFormat="1">
      <c r="A34" s="643"/>
      <c r="B34" s="545"/>
      <c r="C34" s="285"/>
      <c r="D34" s="331" t="s">
        <v>226</v>
      </c>
      <c r="E34" s="262">
        <v>0</v>
      </c>
      <c r="F34" s="262">
        <v>0</v>
      </c>
      <c r="G34" s="262">
        <v>0</v>
      </c>
      <c r="H34" s="262">
        <v>60000</v>
      </c>
      <c r="I34" s="262">
        <v>0</v>
      </c>
      <c r="J34" s="262">
        <f t="shared" si="2"/>
        <v>60000</v>
      </c>
    </row>
    <row r="35" spans="1:14" s="74" customFormat="1" ht="13.5">
      <c r="A35" s="643"/>
      <c r="B35" s="76">
        <v>71015</v>
      </c>
      <c r="C35" s="267"/>
      <c r="D35" s="252" t="s">
        <v>52</v>
      </c>
      <c r="E35" s="253">
        <f t="shared" ref="E35:I35" si="12">E36</f>
        <v>656000</v>
      </c>
      <c r="F35" s="253">
        <f t="shared" si="12"/>
        <v>835000</v>
      </c>
      <c r="G35" s="253">
        <f t="shared" si="12"/>
        <v>835000</v>
      </c>
      <c r="H35" s="253">
        <f t="shared" si="12"/>
        <v>899600</v>
      </c>
      <c r="I35" s="253">
        <f t="shared" si="12"/>
        <v>977878</v>
      </c>
      <c r="J35" s="253">
        <f t="shared" si="2"/>
        <v>899600</v>
      </c>
      <c r="L35" s="104"/>
    </row>
    <row r="36" spans="1:14" s="74" customFormat="1" ht="13.5">
      <c r="A36" s="643"/>
      <c r="B36" s="642"/>
      <c r="C36" s="260"/>
      <c r="D36" s="330" t="s">
        <v>335</v>
      </c>
      <c r="E36" s="268">
        <f t="shared" ref="E36:I36" si="13">SUM(E37:E40)</f>
        <v>656000</v>
      </c>
      <c r="F36" s="268">
        <f t="shared" si="13"/>
        <v>835000</v>
      </c>
      <c r="G36" s="268">
        <f t="shared" si="13"/>
        <v>835000</v>
      </c>
      <c r="H36" s="268">
        <f>H37+H38+H39+H40</f>
        <v>899600</v>
      </c>
      <c r="I36" s="268">
        <f t="shared" si="13"/>
        <v>977878</v>
      </c>
      <c r="J36" s="268">
        <f t="shared" si="2"/>
        <v>899600</v>
      </c>
      <c r="L36" s="104"/>
      <c r="N36" s="259"/>
    </row>
    <row r="37" spans="1:14" s="108" customFormat="1">
      <c r="A37" s="643"/>
      <c r="B37" s="643"/>
      <c r="C37" s="684"/>
      <c r="D37" s="331" t="s">
        <v>230</v>
      </c>
      <c r="E37" s="262">
        <v>554866</v>
      </c>
      <c r="F37" s="262">
        <f>'[3]Wykonanie 8 2025'!I354+'[3]Wykonanie 8 2025'!I355+'[3]Wykonanie 8 2025'!I356+'[3]Wykonanie 8 2025'!I357+'[3]Wykonanie 8 2025'!I358+'[3]Wykonanie 8 2025'!I359</f>
        <v>691845</v>
      </c>
      <c r="G37" s="262">
        <f>F37</f>
        <v>691845</v>
      </c>
      <c r="H37" s="262">
        <f>380000+220000+48000+109885+9300+5600</f>
        <v>772785</v>
      </c>
      <c r="I37" s="262">
        <f>386000+202000+48000+115000+13000+15000</f>
        <v>779000</v>
      </c>
      <c r="J37" s="262">
        <f t="shared" si="2"/>
        <v>772785</v>
      </c>
      <c r="K37" s="107"/>
      <c r="L37" s="107"/>
      <c r="N37" s="269"/>
    </row>
    <row r="38" spans="1:14" s="108" customFormat="1">
      <c r="A38" s="643"/>
      <c r="B38" s="643"/>
      <c r="C38" s="685"/>
      <c r="D38" s="283" t="s">
        <v>263</v>
      </c>
      <c r="E38" s="262">
        <v>600</v>
      </c>
      <c r="F38" s="262">
        <f>'[3]Wykonanie 8 2025'!I353</f>
        <v>800</v>
      </c>
      <c r="G38" s="262">
        <f t="shared" ref="G38:G39" si="14">F38</f>
        <v>800</v>
      </c>
      <c r="H38" s="262">
        <v>800</v>
      </c>
      <c r="I38" s="262">
        <v>800</v>
      </c>
      <c r="J38" s="262">
        <f t="shared" si="2"/>
        <v>800</v>
      </c>
      <c r="L38" s="107"/>
    </row>
    <row r="39" spans="1:14" s="108" customFormat="1">
      <c r="A39" s="643"/>
      <c r="B39" s="643"/>
      <c r="C39" s="685"/>
      <c r="D39" s="331" t="s">
        <v>226</v>
      </c>
      <c r="E39" s="262">
        <v>100534</v>
      </c>
      <c r="F39" s="262">
        <f>'[3]Wykonanie 8 2025'!I360+'[3]Wykonanie 8 2025'!I361+'[3]Wykonanie 8 2025'!I362+'[3]Wykonanie 8 2025'!I363+'[3]Wykonanie 8 2025'!I364+'[3]Wykonanie 8 2025'!I365+'[3]Wykonanie 8 2025'!I366+'[3]Wykonanie 8 2025'!I367+'[3]Wykonanie 8 2025'!I368+'[3]Wykonanie 8 2025'!I369</f>
        <v>142355</v>
      </c>
      <c r="G39" s="262">
        <f t="shared" si="14"/>
        <v>142355</v>
      </c>
      <c r="H39" s="262">
        <f>849600-H37-H38</f>
        <v>76015</v>
      </c>
      <c r="I39" s="262">
        <f>25000+20000+30000+800+97122+4000+2000+18156+500+500</f>
        <v>198078</v>
      </c>
      <c r="J39" s="262">
        <f t="shared" si="2"/>
        <v>76015</v>
      </c>
      <c r="K39" s="269"/>
    </row>
    <row r="40" spans="1:14" s="108" customFormat="1">
      <c r="A40" s="643"/>
      <c r="B40" s="675"/>
      <c r="C40" s="686"/>
      <c r="D40" s="265" t="s">
        <v>330</v>
      </c>
      <c r="E40" s="253">
        <v>0</v>
      </c>
      <c r="F40" s="253">
        <v>0</v>
      </c>
      <c r="G40" s="253">
        <v>0</v>
      </c>
      <c r="H40" s="253">
        <v>50000</v>
      </c>
      <c r="I40" s="253">
        <v>0</v>
      </c>
      <c r="J40" s="253">
        <f t="shared" si="2"/>
        <v>50000</v>
      </c>
      <c r="L40" s="107"/>
    </row>
    <row r="41" spans="1:14" s="74" customFormat="1" ht="13.5">
      <c r="A41" s="643"/>
      <c r="B41" s="76" t="s">
        <v>336</v>
      </c>
      <c r="C41" s="267"/>
      <c r="D41" s="252" t="s">
        <v>337</v>
      </c>
      <c r="E41" s="253">
        <f>E42</f>
        <v>0</v>
      </c>
      <c r="F41" s="253">
        <f>F42</f>
        <v>0</v>
      </c>
      <c r="G41" s="253"/>
      <c r="H41" s="253">
        <f t="shared" ref="H41:I41" si="15">H42</f>
        <v>0</v>
      </c>
      <c r="I41" s="253">
        <f t="shared" si="15"/>
        <v>0</v>
      </c>
      <c r="J41" s="253">
        <f t="shared" si="2"/>
        <v>0</v>
      </c>
      <c r="L41" s="104"/>
    </row>
    <row r="42" spans="1:14" s="74" customFormat="1" ht="38.25">
      <c r="A42" s="643"/>
      <c r="B42" s="642"/>
      <c r="C42" s="260"/>
      <c r="D42" s="271" t="s">
        <v>53</v>
      </c>
      <c r="E42" s="268">
        <f>E43</f>
        <v>0</v>
      </c>
      <c r="F42" s="268">
        <f>F43</f>
        <v>0</v>
      </c>
      <c r="G42" s="268"/>
      <c r="H42" s="268"/>
      <c r="I42" s="268"/>
      <c r="J42" s="268">
        <f t="shared" si="2"/>
        <v>0</v>
      </c>
      <c r="L42" s="104"/>
    </row>
    <row r="43" spans="1:14" s="108" customFormat="1" ht="22.5">
      <c r="A43" s="675"/>
      <c r="B43" s="675"/>
      <c r="C43" s="270"/>
      <c r="D43" s="337" t="s">
        <v>278</v>
      </c>
      <c r="E43" s="262">
        <v>0</v>
      </c>
      <c r="F43" s="262">
        <v>0</v>
      </c>
      <c r="G43" s="262">
        <v>0</v>
      </c>
      <c r="H43" s="262">
        <v>0</v>
      </c>
      <c r="I43" s="262">
        <v>0</v>
      </c>
      <c r="J43" s="262">
        <f t="shared" si="2"/>
        <v>0</v>
      </c>
      <c r="K43" s="107"/>
      <c r="L43" s="107"/>
    </row>
    <row r="44" spans="1:14" s="74" customFormat="1">
      <c r="A44" s="76">
        <v>750</v>
      </c>
      <c r="B44" s="248"/>
      <c r="C44" s="248"/>
      <c r="D44" s="249" t="s">
        <v>338</v>
      </c>
      <c r="E44" s="250">
        <f>E45</f>
        <v>79222</v>
      </c>
      <c r="F44" s="250">
        <f>F45</f>
        <v>102900</v>
      </c>
      <c r="G44" s="250">
        <f t="shared" ref="G44:I44" si="16">G45</f>
        <v>102900</v>
      </c>
      <c r="H44" s="250">
        <f t="shared" si="16"/>
        <v>105660</v>
      </c>
      <c r="I44" s="250">
        <f t="shared" si="16"/>
        <v>102900</v>
      </c>
      <c r="J44" s="250">
        <f t="shared" si="2"/>
        <v>105660</v>
      </c>
      <c r="L44" s="104"/>
      <c r="M44" s="104"/>
    </row>
    <row r="45" spans="1:14" s="74" customFormat="1" ht="13.5">
      <c r="A45" s="642"/>
      <c r="B45" s="76">
        <v>75011</v>
      </c>
      <c r="C45" s="272"/>
      <c r="D45" s="273" t="s">
        <v>56</v>
      </c>
      <c r="E45" s="274">
        <f t="shared" ref="E45:I45" si="17">E46</f>
        <v>79222</v>
      </c>
      <c r="F45" s="274">
        <f t="shared" si="17"/>
        <v>102900</v>
      </c>
      <c r="G45" s="274">
        <f t="shared" si="17"/>
        <v>102900</v>
      </c>
      <c r="H45" s="274">
        <f t="shared" si="17"/>
        <v>105660</v>
      </c>
      <c r="I45" s="274">
        <f t="shared" si="17"/>
        <v>102900</v>
      </c>
      <c r="J45" s="274">
        <f t="shared" si="2"/>
        <v>105660</v>
      </c>
      <c r="L45" s="104"/>
    </row>
    <row r="46" spans="1:14" s="74" customFormat="1" ht="13.5">
      <c r="A46" s="643"/>
      <c r="B46" s="275"/>
      <c r="C46" s="256"/>
      <c r="D46" s="330" t="s">
        <v>232</v>
      </c>
      <c r="E46" s="79">
        <f t="shared" ref="E46:I46" si="18">E47+E48</f>
        <v>79222</v>
      </c>
      <c r="F46" s="79">
        <f t="shared" si="18"/>
        <v>102900</v>
      </c>
      <c r="G46" s="79">
        <f t="shared" si="18"/>
        <v>102900</v>
      </c>
      <c r="H46" s="79">
        <f t="shared" si="18"/>
        <v>105660</v>
      </c>
      <c r="I46" s="79">
        <f t="shared" si="18"/>
        <v>102900</v>
      </c>
      <c r="J46" s="79">
        <f t="shared" si="2"/>
        <v>105660</v>
      </c>
    </row>
    <row r="47" spans="1:14" s="74" customFormat="1">
      <c r="A47" s="643"/>
      <c r="B47" s="101"/>
      <c r="C47" s="682"/>
      <c r="D47" s="331" t="s">
        <v>230</v>
      </c>
      <c r="E47" s="97">
        <v>79222</v>
      </c>
      <c r="F47" s="97">
        <f>'[3]Wykonanie 8 2025'!I379</f>
        <v>102900</v>
      </c>
      <c r="G47" s="97">
        <f>F47</f>
        <v>102900</v>
      </c>
      <c r="H47" s="97">
        <v>105660</v>
      </c>
      <c r="I47" s="97">
        <v>102900</v>
      </c>
      <c r="J47" s="97">
        <f t="shared" si="2"/>
        <v>105660</v>
      </c>
      <c r="L47" s="104"/>
    </row>
    <row r="48" spans="1:14" s="74" customFormat="1">
      <c r="A48" s="643"/>
      <c r="B48" s="276"/>
      <c r="C48" s="683"/>
      <c r="D48" s="331" t="s">
        <v>226</v>
      </c>
      <c r="E48" s="97">
        <v>0</v>
      </c>
      <c r="F48" s="97">
        <v>0</v>
      </c>
      <c r="G48" s="97">
        <v>0</v>
      </c>
      <c r="H48" s="97">
        <v>0</v>
      </c>
      <c r="I48" s="97">
        <v>0</v>
      </c>
      <c r="J48" s="97">
        <f t="shared" si="2"/>
        <v>0</v>
      </c>
      <c r="L48" s="104"/>
    </row>
    <row r="49" spans="1:13" s="74" customFormat="1">
      <c r="A49" s="76" t="s">
        <v>339</v>
      </c>
      <c r="B49" s="248"/>
      <c r="C49" s="248"/>
      <c r="D49" s="249" t="s">
        <v>64</v>
      </c>
      <c r="E49" s="250">
        <f t="shared" ref="E49:I49" si="19">E50+E54</f>
        <v>35000</v>
      </c>
      <c r="F49" s="250">
        <f t="shared" si="19"/>
        <v>44000</v>
      </c>
      <c r="G49" s="250">
        <f t="shared" si="19"/>
        <v>44000</v>
      </c>
      <c r="H49" s="250">
        <f t="shared" si="19"/>
        <v>49000</v>
      </c>
      <c r="I49" s="250">
        <f t="shared" si="19"/>
        <v>45000</v>
      </c>
      <c r="J49" s="250">
        <f t="shared" si="2"/>
        <v>49000</v>
      </c>
      <c r="L49" s="259"/>
      <c r="M49" s="259"/>
    </row>
    <row r="50" spans="1:13" s="40" customFormat="1" ht="15" customHeight="1">
      <c r="A50" s="687"/>
      <c r="B50" s="33" t="s">
        <v>340</v>
      </c>
      <c r="C50" s="277"/>
      <c r="D50" s="174" t="s">
        <v>65</v>
      </c>
      <c r="E50" s="39">
        <f t="shared" ref="E50:I50" si="20">E51</f>
        <v>35000</v>
      </c>
      <c r="F50" s="39">
        <f t="shared" si="20"/>
        <v>44000</v>
      </c>
      <c r="G50" s="39">
        <f t="shared" si="20"/>
        <v>44000</v>
      </c>
      <c r="H50" s="39">
        <f t="shared" si="20"/>
        <v>49000</v>
      </c>
      <c r="I50" s="39">
        <f t="shared" si="20"/>
        <v>45000</v>
      </c>
      <c r="J50" s="39">
        <f t="shared" si="2"/>
        <v>49000</v>
      </c>
    </row>
    <row r="51" spans="1:13" s="40" customFormat="1" ht="15" customHeight="1">
      <c r="A51" s="688"/>
      <c r="B51" s="278"/>
      <c r="C51" s="279"/>
      <c r="D51" s="139" t="s">
        <v>341</v>
      </c>
      <c r="E51" s="43">
        <f t="shared" ref="E51:I51" si="21">E52+E53</f>
        <v>35000</v>
      </c>
      <c r="F51" s="43">
        <f t="shared" si="21"/>
        <v>44000</v>
      </c>
      <c r="G51" s="43">
        <f t="shared" si="21"/>
        <v>44000</v>
      </c>
      <c r="H51" s="43">
        <v>49000</v>
      </c>
      <c r="I51" s="43">
        <f t="shared" si="21"/>
        <v>45000</v>
      </c>
      <c r="J51" s="43">
        <f t="shared" si="2"/>
        <v>49000</v>
      </c>
    </row>
    <row r="52" spans="1:13" s="40" customFormat="1" ht="15" customHeight="1">
      <c r="A52" s="688"/>
      <c r="B52" s="278"/>
      <c r="C52" s="277"/>
      <c r="D52" s="172" t="s">
        <v>230</v>
      </c>
      <c r="E52" s="45">
        <v>21180</v>
      </c>
      <c r="F52" s="45">
        <f>'[3]Wykonanie 8 2025'!I464+'[3]Wykonanie 8 2025'!I465+'[3]Wykonanie 8 2025'!I466+'[3]Wykonanie 8 2025'!I467</f>
        <v>29385.07</v>
      </c>
      <c r="G52" s="45">
        <f>F52</f>
        <v>29385.07</v>
      </c>
      <c r="H52" s="45">
        <f>9011+3450+18866</f>
        <v>31327</v>
      </c>
      <c r="I52" s="45">
        <f>7011+2450+17866</f>
        <v>27327</v>
      </c>
      <c r="J52" s="45">
        <f t="shared" si="2"/>
        <v>31327</v>
      </c>
      <c r="L52" s="61"/>
    </row>
    <row r="53" spans="1:13" s="48" customFormat="1" ht="13.5" customHeight="1">
      <c r="A53" s="689"/>
      <c r="B53" s="278"/>
      <c r="C53" s="339"/>
      <c r="D53" s="172" t="s">
        <v>226</v>
      </c>
      <c r="E53" s="65">
        <v>13820</v>
      </c>
      <c r="F53" s="65">
        <f>'[3]Wykonanie 8 2025'!I468+'[3]Wykonanie 8 2025'!I469+'[3]Wykonanie 8 2025'!I470</f>
        <v>14614.93</v>
      </c>
      <c r="G53" s="45">
        <f>F53</f>
        <v>14614.93</v>
      </c>
      <c r="H53" s="65">
        <f>49000-H52</f>
        <v>17673</v>
      </c>
      <c r="I53" s="65">
        <f>45000-I52</f>
        <v>17673</v>
      </c>
      <c r="J53" s="65">
        <f t="shared" si="2"/>
        <v>17673</v>
      </c>
      <c r="K53" s="58"/>
    </row>
    <row r="54" spans="1:13" s="74" customFormat="1" ht="13.5">
      <c r="A54" s="280"/>
      <c r="B54" s="76" t="s">
        <v>342</v>
      </c>
      <c r="C54" s="267"/>
      <c r="D54" s="252" t="s">
        <v>45</v>
      </c>
      <c r="E54" s="253">
        <f t="shared" ref="E54:I54" si="22">E55</f>
        <v>0</v>
      </c>
      <c r="F54" s="253">
        <f t="shared" si="22"/>
        <v>0</v>
      </c>
      <c r="G54" s="253">
        <f t="shared" si="22"/>
        <v>0</v>
      </c>
      <c r="H54" s="253">
        <f t="shared" si="22"/>
        <v>0</v>
      </c>
      <c r="I54" s="253">
        <f t="shared" si="22"/>
        <v>0</v>
      </c>
      <c r="J54" s="253">
        <f t="shared" si="2"/>
        <v>0</v>
      </c>
    </row>
    <row r="55" spans="1:13" s="74" customFormat="1" ht="27">
      <c r="A55" s="101"/>
      <c r="B55" s="275"/>
      <c r="C55" s="260"/>
      <c r="D55" s="330" t="s">
        <v>343</v>
      </c>
      <c r="E55" s="103">
        <f t="shared" ref="E55:I55" si="23">E56+E57+E58</f>
        <v>0</v>
      </c>
      <c r="F55" s="103">
        <f t="shared" si="23"/>
        <v>0</v>
      </c>
      <c r="G55" s="103">
        <f t="shared" si="23"/>
        <v>0</v>
      </c>
      <c r="H55" s="103">
        <f t="shared" si="23"/>
        <v>0</v>
      </c>
      <c r="I55" s="103">
        <f t="shared" si="23"/>
        <v>0</v>
      </c>
      <c r="J55" s="103">
        <f t="shared" si="2"/>
        <v>0</v>
      </c>
    </row>
    <row r="56" spans="1:13" s="74" customFormat="1">
      <c r="A56" s="101"/>
      <c r="B56" s="101"/>
      <c r="C56" s="251"/>
      <c r="D56" s="331" t="s">
        <v>230</v>
      </c>
      <c r="E56" s="97">
        <v>0</v>
      </c>
      <c r="F56" s="97">
        <v>0</v>
      </c>
      <c r="G56" s="97">
        <v>0</v>
      </c>
      <c r="H56" s="97">
        <v>0</v>
      </c>
      <c r="I56" s="97">
        <v>0</v>
      </c>
      <c r="J56" s="97">
        <f t="shared" si="2"/>
        <v>0</v>
      </c>
    </row>
    <row r="57" spans="1:13" s="74" customFormat="1">
      <c r="A57" s="101"/>
      <c r="B57" s="101"/>
      <c r="C57" s="254"/>
      <c r="D57" s="283" t="s">
        <v>263</v>
      </c>
      <c r="E57" s="97">
        <v>0</v>
      </c>
      <c r="F57" s="97">
        <v>0</v>
      </c>
      <c r="G57" s="97">
        <v>0</v>
      </c>
      <c r="H57" s="97">
        <v>0</v>
      </c>
      <c r="I57" s="97">
        <v>0</v>
      </c>
      <c r="J57" s="97">
        <f t="shared" si="2"/>
        <v>0</v>
      </c>
    </row>
    <row r="58" spans="1:13" s="74" customFormat="1">
      <c r="A58" s="101"/>
      <c r="B58" s="101"/>
      <c r="C58" s="254"/>
      <c r="D58" s="331" t="s">
        <v>226</v>
      </c>
      <c r="E58" s="97">
        <v>0</v>
      </c>
      <c r="F58" s="97">
        <v>0</v>
      </c>
      <c r="G58" s="97">
        <v>0</v>
      </c>
      <c r="H58" s="97">
        <v>0</v>
      </c>
      <c r="I58" s="97">
        <v>0</v>
      </c>
      <c r="J58" s="97">
        <f t="shared" si="2"/>
        <v>0</v>
      </c>
    </row>
    <row r="59" spans="1:13" s="74" customFormat="1" ht="25.5">
      <c r="A59" s="76">
        <v>754</v>
      </c>
      <c r="B59" s="248"/>
      <c r="C59" s="248"/>
      <c r="D59" s="249" t="s">
        <v>344</v>
      </c>
      <c r="E59" s="250">
        <f t="shared" ref="E59:I59" si="24">E60+E66</f>
        <v>8034000</v>
      </c>
      <c r="F59" s="250">
        <f t="shared" si="24"/>
        <v>10547649</v>
      </c>
      <c r="G59" s="250">
        <f t="shared" si="24"/>
        <v>11141588.109999999</v>
      </c>
      <c r="H59" s="250">
        <f>H60</f>
        <v>10309000</v>
      </c>
      <c r="I59" s="250">
        <f t="shared" si="24"/>
        <v>11631045.5</v>
      </c>
      <c r="J59" s="250">
        <f t="shared" si="2"/>
        <v>10309000</v>
      </c>
      <c r="L59" s="259"/>
    </row>
    <row r="60" spans="1:13" s="74" customFormat="1" ht="13.5">
      <c r="A60" s="642"/>
      <c r="B60" s="76">
        <v>75411</v>
      </c>
      <c r="C60" s="267"/>
      <c r="D60" s="252" t="s">
        <v>67</v>
      </c>
      <c r="E60" s="253">
        <f t="shared" ref="E60:I60" si="25">E61</f>
        <v>8034000</v>
      </c>
      <c r="F60" s="253">
        <f t="shared" si="25"/>
        <v>10547649</v>
      </c>
      <c r="G60" s="253">
        <f t="shared" si="25"/>
        <v>11141588.109999999</v>
      </c>
      <c r="H60" s="253">
        <f t="shared" si="25"/>
        <v>10309000</v>
      </c>
      <c r="I60" s="253">
        <f t="shared" si="25"/>
        <v>11631045.5</v>
      </c>
      <c r="J60" s="253">
        <f t="shared" si="2"/>
        <v>10309000</v>
      </c>
      <c r="M60" s="259"/>
    </row>
    <row r="61" spans="1:13" s="74" customFormat="1" ht="27">
      <c r="A61" s="643"/>
      <c r="B61" s="275"/>
      <c r="C61" s="260"/>
      <c r="D61" s="330" t="s">
        <v>343</v>
      </c>
      <c r="E61" s="103">
        <f t="shared" ref="E61:I61" si="26">E62+E63+E64+E65</f>
        <v>8034000</v>
      </c>
      <c r="F61" s="103">
        <f t="shared" si="26"/>
        <v>10547649</v>
      </c>
      <c r="G61" s="103">
        <f t="shared" si="26"/>
        <v>11141588.109999999</v>
      </c>
      <c r="H61" s="103">
        <v>10309000</v>
      </c>
      <c r="I61" s="103">
        <f t="shared" si="26"/>
        <v>11631045.5</v>
      </c>
      <c r="J61" s="103">
        <f t="shared" si="2"/>
        <v>10309000</v>
      </c>
      <c r="L61" s="104"/>
    </row>
    <row r="62" spans="1:13" s="108" customFormat="1">
      <c r="A62" s="643"/>
      <c r="B62" s="101"/>
      <c r="C62" s="251"/>
      <c r="D62" s="331" t="s">
        <v>230</v>
      </c>
      <c r="E62" s="97">
        <v>7286710</v>
      </c>
      <c r="F62" s="97">
        <f>'[3]Wykonanie 8 2025'!I475+'[3]Wykonanie 8 2025'!I476+'[3]Wykonanie 8 2025'!I478+'[3]Wykonanie 8 2025'!I481+'[3]Wykonanie 8 2025'!I483+'[3]Wykonanie 8 2025'!I485+'[3]Wykonanie 8 2025'!I487+'[3]Wykonanie 8 2025'!I489+'[3]Wykonanie 8 2025'!I490+'[3]Wykonanie 8 2025'!I492+'[3]Wykonanie 8 2025'!I495</f>
        <v>9848937</v>
      </c>
      <c r="G62" s="97">
        <f>26525.87+7478.13+7581524.68+248577.63+555633.69+17729.6+10105.78+600+5100+1842880.64</f>
        <v>10296156.02</v>
      </c>
      <c r="H62" s="97"/>
      <c r="I62" s="97">
        <f>36369.9+84437.85+10000+7808970.42+211000+650750+25000+5000+1900000</f>
        <v>10731528.17</v>
      </c>
      <c r="J62" s="97">
        <f t="shared" si="2"/>
        <v>0</v>
      </c>
      <c r="K62" s="269"/>
      <c r="L62" s="107"/>
    </row>
    <row r="63" spans="1:13" s="108" customFormat="1">
      <c r="A63" s="643"/>
      <c r="B63" s="101"/>
      <c r="C63" s="254"/>
      <c r="D63" s="283" t="s">
        <v>263</v>
      </c>
      <c r="E63" s="97">
        <v>217290</v>
      </c>
      <c r="F63" s="97">
        <f>'[3]Wykonanie 8 2025'!I473</f>
        <v>180000</v>
      </c>
      <c r="G63" s="97">
        <v>261863</v>
      </c>
      <c r="H63" s="97">
        <v>0</v>
      </c>
      <c r="I63" s="97">
        <v>260000</v>
      </c>
      <c r="J63" s="97">
        <f t="shared" si="2"/>
        <v>0</v>
      </c>
      <c r="L63" s="107"/>
    </row>
    <row r="64" spans="1:13" s="108" customFormat="1">
      <c r="A64" s="643"/>
      <c r="B64" s="101"/>
      <c r="C64" s="254"/>
      <c r="D64" s="331" t="s">
        <v>226</v>
      </c>
      <c r="E64" s="97">
        <v>530000</v>
      </c>
      <c r="F64" s="97">
        <f>'[3]Wykonanie 8 2025'!I496+'[3]Wykonanie 8 2025'!I499+'[3]Wykonanie 8 2025'!I500+'[3]Wykonanie 8 2025'!I502+'[3]Wykonanie 8 2025'!I505+'[3]Wykonanie 8 2025'!I506+'[3]Wykonanie 8 2025'!I509+'[3]Wykonanie 8 2025'!I511+'[3]Wykonanie 8 2025'!I513+'[3]Wykonanie 8 2025'!I514+'[3]Wykonanie 8 2025'!I517+'[3]Wykonanie 8 2025'!I519</f>
        <v>518712</v>
      </c>
      <c r="G64" s="97">
        <f>11141588.11-G62-G63</f>
        <v>583569.08999999985</v>
      </c>
      <c r="H64" s="97"/>
      <c r="I64" s="97">
        <f>11631045.5-I62-I63</f>
        <v>639517.33000000007</v>
      </c>
      <c r="J64" s="97">
        <f t="shared" si="2"/>
        <v>0</v>
      </c>
      <c r="L64" s="107"/>
    </row>
    <row r="65" spans="1:15" s="108" customFormat="1">
      <c r="A65" s="643"/>
      <c r="B65" s="276"/>
      <c r="C65" s="263"/>
      <c r="D65" s="265" t="s">
        <v>330</v>
      </c>
      <c r="E65" s="281">
        <v>0</v>
      </c>
      <c r="F65" s="281">
        <v>0</v>
      </c>
      <c r="G65" s="281">
        <f>F65</f>
        <v>0</v>
      </c>
      <c r="H65" s="281">
        <v>0</v>
      </c>
      <c r="I65" s="281">
        <v>0</v>
      </c>
      <c r="J65" s="281">
        <f t="shared" si="2"/>
        <v>0</v>
      </c>
      <c r="L65" s="269"/>
      <c r="O65" s="269"/>
    </row>
    <row r="66" spans="1:15" s="74" customFormat="1" ht="13.5">
      <c r="A66" s="643"/>
      <c r="B66" s="76">
        <v>75495</v>
      </c>
      <c r="C66" s="267"/>
      <c r="D66" s="252" t="s">
        <v>45</v>
      </c>
      <c r="E66" s="253">
        <f t="shared" ref="E66:I66" si="27">E67</f>
        <v>0</v>
      </c>
      <c r="F66" s="253">
        <f t="shared" si="27"/>
        <v>0</v>
      </c>
      <c r="G66" s="253">
        <f t="shared" si="27"/>
        <v>0</v>
      </c>
      <c r="H66" s="253">
        <f t="shared" si="27"/>
        <v>0</v>
      </c>
      <c r="I66" s="253">
        <f t="shared" si="27"/>
        <v>0</v>
      </c>
      <c r="J66" s="253">
        <f t="shared" si="2"/>
        <v>0</v>
      </c>
      <c r="L66" s="259"/>
    </row>
    <row r="67" spans="1:15" s="74" customFormat="1" ht="13.5">
      <c r="A67" s="643"/>
      <c r="B67" s="275"/>
      <c r="C67" s="260"/>
      <c r="D67" s="330" t="s">
        <v>232</v>
      </c>
      <c r="E67" s="103">
        <f t="shared" ref="E67:I67" si="28">E68+E69</f>
        <v>0</v>
      </c>
      <c r="F67" s="103">
        <f t="shared" si="28"/>
        <v>0</v>
      </c>
      <c r="G67" s="103">
        <f t="shared" si="28"/>
        <v>0</v>
      </c>
      <c r="H67" s="103">
        <f t="shared" si="28"/>
        <v>0</v>
      </c>
      <c r="I67" s="103">
        <f t="shared" si="28"/>
        <v>0</v>
      </c>
      <c r="J67" s="103">
        <f t="shared" si="2"/>
        <v>0</v>
      </c>
      <c r="L67" s="104"/>
    </row>
    <row r="68" spans="1:15" s="108" customFormat="1">
      <c r="A68" s="643"/>
      <c r="B68" s="101"/>
      <c r="C68" s="251"/>
      <c r="D68" s="331" t="s">
        <v>230</v>
      </c>
      <c r="E68" s="282">
        <v>0</v>
      </c>
      <c r="F68" s="97">
        <v>0</v>
      </c>
      <c r="G68" s="97">
        <v>0</v>
      </c>
      <c r="H68" s="282">
        <v>0</v>
      </c>
      <c r="I68" s="282">
        <v>0</v>
      </c>
      <c r="J68" s="282">
        <f t="shared" si="2"/>
        <v>0</v>
      </c>
      <c r="L68" s="107"/>
    </row>
    <row r="69" spans="1:15" s="108" customFormat="1">
      <c r="A69" s="675"/>
      <c r="B69" s="101"/>
      <c r="C69" s="254"/>
      <c r="D69" s="283" t="s">
        <v>226</v>
      </c>
      <c r="E69" s="282">
        <v>0</v>
      </c>
      <c r="F69" s="97">
        <v>0</v>
      </c>
      <c r="G69" s="97">
        <v>0</v>
      </c>
      <c r="H69" s="282">
        <v>0</v>
      </c>
      <c r="I69" s="282">
        <v>0</v>
      </c>
      <c r="J69" s="282">
        <f t="shared" si="2"/>
        <v>0</v>
      </c>
      <c r="L69" s="107"/>
    </row>
    <row r="70" spans="1:15" s="74" customFormat="1">
      <c r="A70" s="76" t="s">
        <v>252</v>
      </c>
      <c r="B70" s="248"/>
      <c r="C70" s="248"/>
      <c r="D70" s="249"/>
      <c r="E70" s="250">
        <f t="shared" ref="E70:I71" si="29">E71</f>
        <v>198000</v>
      </c>
      <c r="F70" s="250">
        <f t="shared" si="29"/>
        <v>219744</v>
      </c>
      <c r="G70" s="250">
        <f t="shared" si="29"/>
        <v>219744</v>
      </c>
      <c r="H70" s="250">
        <f t="shared" si="29"/>
        <v>227160</v>
      </c>
      <c r="I70" s="250">
        <f t="shared" si="29"/>
        <v>227070</v>
      </c>
      <c r="J70" s="250">
        <f t="shared" si="2"/>
        <v>227160</v>
      </c>
    </row>
    <row r="71" spans="1:15" s="74" customFormat="1" ht="13.5">
      <c r="A71" s="280"/>
      <c r="B71" s="76" t="s">
        <v>253</v>
      </c>
      <c r="C71" s="267"/>
      <c r="D71" s="252"/>
      <c r="E71" s="253">
        <f t="shared" si="29"/>
        <v>198000</v>
      </c>
      <c r="F71" s="253">
        <f t="shared" si="29"/>
        <v>219744</v>
      </c>
      <c r="G71" s="253">
        <f t="shared" si="29"/>
        <v>219744</v>
      </c>
      <c r="H71" s="253">
        <f t="shared" si="29"/>
        <v>227160</v>
      </c>
      <c r="I71" s="253">
        <f t="shared" si="29"/>
        <v>227070</v>
      </c>
      <c r="J71" s="253">
        <f t="shared" si="2"/>
        <v>227160</v>
      </c>
    </row>
    <row r="72" spans="1:15" s="74" customFormat="1" ht="13.5">
      <c r="A72" s="101"/>
      <c r="B72" s="642"/>
      <c r="C72" s="260"/>
      <c r="D72" s="330" t="s">
        <v>232</v>
      </c>
      <c r="E72" s="103">
        <f t="shared" ref="E72:I72" si="30">E73+E74+E75</f>
        <v>198000</v>
      </c>
      <c r="F72" s="103">
        <f t="shared" si="30"/>
        <v>219744</v>
      </c>
      <c r="G72" s="103">
        <f t="shared" si="30"/>
        <v>219744</v>
      </c>
      <c r="H72" s="103">
        <v>227160</v>
      </c>
      <c r="I72" s="103">
        <f t="shared" si="30"/>
        <v>227070</v>
      </c>
      <c r="J72" s="103">
        <f t="shared" si="2"/>
        <v>227160</v>
      </c>
      <c r="L72" s="104"/>
    </row>
    <row r="73" spans="1:15" s="108" customFormat="1">
      <c r="A73" s="101"/>
      <c r="B73" s="643"/>
      <c r="C73" s="684"/>
      <c r="D73" s="331" t="s">
        <v>230</v>
      </c>
      <c r="E73" s="97">
        <v>7178.4</v>
      </c>
      <c r="F73" s="97">
        <f>'[3]Wykonanie 8 2025'!I534+'[3]Wykonanie 8 2025'!I535+'[3]Wykonanie 8 2025'!I536+'[3]Wykonanie 8 2025'!I537+'[3]Wykonanie 8 2025'!I542</f>
        <v>7869.29</v>
      </c>
      <c r="G73" s="97">
        <f>F73</f>
        <v>7869.29</v>
      </c>
      <c r="H73" s="97">
        <f>6000+510+1015.8+147</f>
        <v>7672.8</v>
      </c>
      <c r="I73" s="97">
        <v>7672.8</v>
      </c>
      <c r="J73" s="97">
        <f t="shared" si="2"/>
        <v>7672.8</v>
      </c>
      <c r="L73" s="107"/>
    </row>
    <row r="74" spans="1:15" s="108" customFormat="1">
      <c r="A74" s="101"/>
      <c r="B74" s="643"/>
      <c r="C74" s="685"/>
      <c r="D74" s="283" t="s">
        <v>268</v>
      </c>
      <c r="E74" s="97">
        <v>124080</v>
      </c>
      <c r="F74" s="97">
        <f>'[3]Wykonanie 8 2025'!I533</f>
        <v>137706.20000000001</v>
      </c>
      <c r="G74" s="97">
        <f t="shared" ref="G74:G75" si="31">F74</f>
        <v>137706.20000000001</v>
      </c>
      <c r="H74" s="97">
        <v>142353.60000000001</v>
      </c>
      <c r="I74" s="97">
        <v>142353.60000000001</v>
      </c>
      <c r="J74" s="97">
        <f t="shared" si="2"/>
        <v>142353.60000000001</v>
      </c>
      <c r="L74" s="107"/>
    </row>
    <row r="75" spans="1:15" s="108" customFormat="1">
      <c r="A75" s="101"/>
      <c r="B75" s="643"/>
      <c r="C75" s="685"/>
      <c r="D75" s="331" t="s">
        <v>226</v>
      </c>
      <c r="E75" s="97">
        <v>66741.600000000006</v>
      </c>
      <c r="F75" s="97">
        <f>'[3]Wykonanie 8 2025'!I538+'[3]Wykonanie 8 2025'!I539+'[3]Wykonanie 8 2025'!I540+'[3]Wykonanie 8 2025'!I541</f>
        <v>74168.509999999995</v>
      </c>
      <c r="G75" s="97">
        <f t="shared" si="31"/>
        <v>74168.509999999995</v>
      </c>
      <c r="H75" s="97">
        <f>H72-H73-H74</f>
        <v>77133.600000000006</v>
      </c>
      <c r="I75" s="97">
        <v>77043.600000000006</v>
      </c>
      <c r="J75" s="97">
        <f t="shared" si="2"/>
        <v>77133.600000000006</v>
      </c>
      <c r="L75" s="107"/>
    </row>
    <row r="76" spans="1:15" s="74" customFormat="1">
      <c r="A76" s="76" t="s">
        <v>345</v>
      </c>
      <c r="B76" s="248"/>
      <c r="C76" s="248"/>
      <c r="D76" s="249" t="s">
        <v>114</v>
      </c>
      <c r="E76" s="250">
        <f t="shared" ref="E76:I76" si="32">E77</f>
        <v>0</v>
      </c>
      <c r="F76" s="250">
        <f t="shared" si="32"/>
        <v>40081.269999999997</v>
      </c>
      <c r="G76" s="250">
        <f t="shared" si="32"/>
        <v>0</v>
      </c>
      <c r="H76" s="250">
        <f t="shared" si="32"/>
        <v>0</v>
      </c>
      <c r="I76" s="250">
        <f t="shared" si="32"/>
        <v>0</v>
      </c>
      <c r="J76" s="250">
        <f t="shared" si="2"/>
        <v>0</v>
      </c>
    </row>
    <row r="77" spans="1:15" s="74" customFormat="1" ht="38.25">
      <c r="A77" s="101"/>
      <c r="B77" s="76" t="s">
        <v>346</v>
      </c>
      <c r="C77" s="267"/>
      <c r="D77" s="284" t="s">
        <v>347</v>
      </c>
      <c r="E77" s="253">
        <f t="shared" ref="E77:I77" si="33">E78+E80+E82</f>
        <v>0</v>
      </c>
      <c r="F77" s="253">
        <f t="shared" si="33"/>
        <v>40081.269999999997</v>
      </c>
      <c r="G77" s="253">
        <f t="shared" si="33"/>
        <v>0</v>
      </c>
      <c r="H77" s="253">
        <f t="shared" si="33"/>
        <v>0</v>
      </c>
      <c r="I77" s="253">
        <f t="shared" si="33"/>
        <v>0</v>
      </c>
      <c r="J77" s="253">
        <f t="shared" ref="J77:J117" si="34">H77</f>
        <v>0</v>
      </c>
      <c r="L77" s="104"/>
      <c r="N77" s="259"/>
    </row>
    <row r="78" spans="1:15" s="74" customFormat="1" ht="13.5">
      <c r="A78" s="101"/>
      <c r="B78" s="642"/>
      <c r="C78" s="260"/>
      <c r="D78" s="330" t="s">
        <v>348</v>
      </c>
      <c r="E78" s="268">
        <v>0</v>
      </c>
      <c r="F78" s="268">
        <f>F79</f>
        <v>9599.73</v>
      </c>
      <c r="G78" s="268">
        <v>0</v>
      </c>
      <c r="H78" s="268">
        <v>0</v>
      </c>
      <c r="I78" s="268">
        <v>0</v>
      </c>
      <c r="J78" s="268">
        <f t="shared" si="34"/>
        <v>0</v>
      </c>
      <c r="L78" s="104"/>
    </row>
    <row r="79" spans="1:15" s="74" customFormat="1">
      <c r="A79" s="101"/>
      <c r="B79" s="643"/>
      <c r="C79" s="285"/>
      <c r="D79" s="331" t="s">
        <v>226</v>
      </c>
      <c r="E79" s="97">
        <v>0</v>
      </c>
      <c r="F79" s="97">
        <f>'[3]Wykonanie 8 2025'!I882+'[3]Wykonanie 8 2025'!I879</f>
        <v>9599.73</v>
      </c>
      <c r="G79" s="97">
        <v>0</v>
      </c>
      <c r="H79" s="97">
        <v>0</v>
      </c>
      <c r="I79" s="97">
        <v>0</v>
      </c>
      <c r="J79" s="97">
        <f t="shared" si="34"/>
        <v>0</v>
      </c>
      <c r="L79" s="104"/>
    </row>
    <row r="80" spans="1:15" s="74" customFormat="1" ht="13.5">
      <c r="A80" s="101"/>
      <c r="B80" s="643"/>
      <c r="C80" s="260"/>
      <c r="D80" s="330" t="s">
        <v>349</v>
      </c>
      <c r="E80" s="268">
        <f>E81</f>
        <v>0</v>
      </c>
      <c r="F80" s="268">
        <f>F81</f>
        <v>21624.39</v>
      </c>
      <c r="G80" s="268"/>
      <c r="H80" s="268">
        <f>H81</f>
        <v>0</v>
      </c>
      <c r="I80" s="268">
        <f>I81</f>
        <v>0</v>
      </c>
      <c r="J80" s="268">
        <f t="shared" si="34"/>
        <v>0</v>
      </c>
    </row>
    <row r="81" spans="1:12" s="74" customFormat="1">
      <c r="A81" s="101"/>
      <c r="B81" s="643"/>
      <c r="C81" s="285"/>
      <c r="D81" s="331" t="s">
        <v>226</v>
      </c>
      <c r="E81" s="97">
        <f>E82</f>
        <v>0</v>
      </c>
      <c r="F81" s="97">
        <f>'[3]Wykonanie 8 2025'!I884</f>
        <v>21624.39</v>
      </c>
      <c r="G81" s="97"/>
      <c r="H81" s="97"/>
      <c r="I81" s="97"/>
      <c r="J81" s="97">
        <f t="shared" si="34"/>
        <v>0</v>
      </c>
    </row>
    <row r="82" spans="1:12" s="74" customFormat="1" ht="13.5">
      <c r="A82" s="101"/>
      <c r="B82" s="643"/>
      <c r="C82" s="260"/>
      <c r="D82" s="330" t="s">
        <v>251</v>
      </c>
      <c r="E82" s="268">
        <f>E83</f>
        <v>0</v>
      </c>
      <c r="F82" s="268">
        <f>F83</f>
        <v>8857.15</v>
      </c>
      <c r="G82" s="268"/>
      <c r="H82" s="268">
        <f>H83</f>
        <v>0</v>
      </c>
      <c r="I82" s="268">
        <f>I83</f>
        <v>0</v>
      </c>
      <c r="J82" s="268">
        <f t="shared" si="34"/>
        <v>0</v>
      </c>
    </row>
    <row r="83" spans="1:12" s="74" customFormat="1">
      <c r="A83" s="276"/>
      <c r="B83" s="675"/>
      <c r="C83" s="285"/>
      <c r="D83" s="331" t="s">
        <v>226</v>
      </c>
      <c r="E83" s="97">
        <v>0</v>
      </c>
      <c r="F83" s="97">
        <f>'[3]Wykonanie 8 2025'!I883</f>
        <v>8857.15</v>
      </c>
      <c r="G83" s="97"/>
      <c r="H83" s="97"/>
      <c r="I83" s="97"/>
      <c r="J83" s="97">
        <f t="shared" si="34"/>
        <v>0</v>
      </c>
    </row>
    <row r="84" spans="1:12" s="74" customFormat="1">
      <c r="A84" s="76">
        <v>851</v>
      </c>
      <c r="B84" s="248"/>
      <c r="C84" s="248"/>
      <c r="D84" s="249" t="s">
        <v>350</v>
      </c>
      <c r="E84" s="250">
        <f>E85</f>
        <v>0</v>
      </c>
      <c r="F84" s="250">
        <f t="shared" ref="F84:I85" si="35">F85</f>
        <v>960</v>
      </c>
      <c r="G84" s="250">
        <f t="shared" si="35"/>
        <v>960</v>
      </c>
      <c r="H84" s="250">
        <f t="shared" si="35"/>
        <v>0</v>
      </c>
      <c r="I84" s="250">
        <f t="shared" si="35"/>
        <v>0</v>
      </c>
      <c r="J84" s="250">
        <f t="shared" si="34"/>
        <v>0</v>
      </c>
    </row>
    <row r="85" spans="1:12" s="74" customFormat="1" ht="13.5">
      <c r="A85" s="643"/>
      <c r="B85" s="76" t="s">
        <v>352</v>
      </c>
      <c r="C85" s="267"/>
      <c r="D85" s="38" t="s">
        <v>45</v>
      </c>
      <c r="E85" s="253">
        <f>E86</f>
        <v>0</v>
      </c>
      <c r="F85" s="253">
        <f t="shared" si="35"/>
        <v>960</v>
      </c>
      <c r="G85" s="253">
        <f t="shared" si="35"/>
        <v>960</v>
      </c>
      <c r="H85" s="253">
        <f t="shared" si="35"/>
        <v>0</v>
      </c>
      <c r="I85" s="253">
        <f t="shared" si="35"/>
        <v>0</v>
      </c>
      <c r="J85" s="253">
        <f t="shared" si="34"/>
        <v>0</v>
      </c>
      <c r="L85" s="104"/>
    </row>
    <row r="86" spans="1:12" s="74" customFormat="1" ht="13.5">
      <c r="A86" s="643"/>
      <c r="B86" s="105"/>
      <c r="C86" s="260"/>
      <c r="D86" s="330" t="s">
        <v>353</v>
      </c>
      <c r="E86" s="268">
        <f t="shared" ref="E86:I86" si="36">E87</f>
        <v>0</v>
      </c>
      <c r="F86" s="268">
        <f t="shared" si="36"/>
        <v>960</v>
      </c>
      <c r="G86" s="268">
        <f t="shared" si="36"/>
        <v>960</v>
      </c>
      <c r="H86" s="268">
        <f t="shared" si="36"/>
        <v>0</v>
      </c>
      <c r="I86" s="268">
        <f t="shared" si="36"/>
        <v>0</v>
      </c>
      <c r="J86" s="268">
        <f t="shared" si="34"/>
        <v>0</v>
      </c>
      <c r="L86" s="104"/>
    </row>
    <row r="87" spans="1:12" s="74" customFormat="1">
      <c r="A87" s="675"/>
      <c r="B87" s="105"/>
      <c r="C87" s="285"/>
      <c r="D87" s="331" t="s">
        <v>226</v>
      </c>
      <c r="E87" s="97">
        <v>0</v>
      </c>
      <c r="F87" s="97">
        <f>'[3]Wykonanie 8 2025'!I951</f>
        <v>960</v>
      </c>
      <c r="G87" s="97">
        <v>960</v>
      </c>
      <c r="H87" s="97">
        <v>0</v>
      </c>
      <c r="I87" s="97">
        <v>0</v>
      </c>
      <c r="J87" s="97">
        <f t="shared" si="34"/>
        <v>0</v>
      </c>
      <c r="L87" s="104"/>
    </row>
    <row r="88" spans="1:12" s="74" customFormat="1">
      <c r="A88" s="76" t="s">
        <v>354</v>
      </c>
      <c r="B88" s="248"/>
      <c r="C88" s="248"/>
      <c r="D88" s="249" t="s">
        <v>150</v>
      </c>
      <c r="E88" s="250">
        <f>E89+E93</f>
        <v>0</v>
      </c>
      <c r="F88" s="250">
        <f t="shared" ref="F88:I88" si="37">F89+F93</f>
        <v>34732.800000000003</v>
      </c>
      <c r="G88" s="250">
        <f t="shared" si="37"/>
        <v>34732.800000000003</v>
      </c>
      <c r="H88" s="250">
        <f t="shared" si="37"/>
        <v>0</v>
      </c>
      <c r="I88" s="250">
        <f t="shared" si="37"/>
        <v>29333</v>
      </c>
      <c r="J88" s="250">
        <f t="shared" si="34"/>
        <v>0</v>
      </c>
    </row>
    <row r="89" spans="1:12" s="74" customFormat="1" ht="13.5">
      <c r="A89" s="642"/>
      <c r="B89" s="76" t="s">
        <v>356</v>
      </c>
      <c r="C89" s="267"/>
      <c r="D89" s="273" t="s">
        <v>159</v>
      </c>
      <c r="E89" s="253">
        <f t="shared" ref="E89:I89" si="38">E90</f>
        <v>0</v>
      </c>
      <c r="F89" s="253">
        <f t="shared" si="38"/>
        <v>30600</v>
      </c>
      <c r="G89" s="253">
        <f t="shared" si="38"/>
        <v>30600</v>
      </c>
      <c r="H89" s="253">
        <f t="shared" si="38"/>
        <v>0</v>
      </c>
      <c r="I89" s="253">
        <f t="shared" si="38"/>
        <v>25200</v>
      </c>
      <c r="J89" s="253">
        <f t="shared" si="34"/>
        <v>0</v>
      </c>
      <c r="L89" s="104"/>
    </row>
    <row r="90" spans="1:12" s="74" customFormat="1" ht="13.5">
      <c r="A90" s="643"/>
      <c r="B90" s="643"/>
      <c r="C90" s="286"/>
      <c r="D90" s="330" t="s">
        <v>355</v>
      </c>
      <c r="E90" s="103">
        <f t="shared" ref="E90:I90" si="39">E91+E92</f>
        <v>0</v>
      </c>
      <c r="F90" s="103">
        <f t="shared" si="39"/>
        <v>30600</v>
      </c>
      <c r="G90" s="103">
        <f t="shared" si="39"/>
        <v>30600</v>
      </c>
      <c r="H90" s="103">
        <f t="shared" si="39"/>
        <v>0</v>
      </c>
      <c r="I90" s="103">
        <f t="shared" si="39"/>
        <v>25200</v>
      </c>
      <c r="J90" s="103">
        <f t="shared" si="34"/>
        <v>0</v>
      </c>
    </row>
    <row r="91" spans="1:12" s="74" customFormat="1">
      <c r="A91" s="643"/>
      <c r="B91" s="643"/>
      <c r="C91" s="285"/>
      <c r="D91" s="331" t="s">
        <v>230</v>
      </c>
      <c r="E91" s="97">
        <v>0</v>
      </c>
      <c r="F91" s="97">
        <v>0</v>
      </c>
      <c r="G91" s="97">
        <v>0</v>
      </c>
      <c r="H91" s="97">
        <v>0</v>
      </c>
      <c r="I91" s="97">
        <v>0</v>
      </c>
      <c r="J91" s="97">
        <f t="shared" si="34"/>
        <v>0</v>
      </c>
    </row>
    <row r="92" spans="1:12" s="74" customFormat="1">
      <c r="A92" s="643"/>
      <c r="B92" s="675"/>
      <c r="C92" s="285"/>
      <c r="D92" s="331" t="s">
        <v>226</v>
      </c>
      <c r="E92" s="97">
        <v>0</v>
      </c>
      <c r="F92" s="97">
        <f>'[3]Wykonanie 8 2025'!I983</f>
        <v>30600</v>
      </c>
      <c r="G92" s="97">
        <v>30600</v>
      </c>
      <c r="H92" s="97">
        <v>0</v>
      </c>
      <c r="I92" s="97">
        <v>25200</v>
      </c>
      <c r="J92" s="97">
        <f t="shared" si="34"/>
        <v>0</v>
      </c>
    </row>
    <row r="93" spans="1:12" s="74" customFormat="1" ht="13.5">
      <c r="A93" s="642"/>
      <c r="B93" s="76" t="s">
        <v>611</v>
      </c>
      <c r="C93" s="267"/>
      <c r="D93" s="38" t="s">
        <v>45</v>
      </c>
      <c r="E93" s="253">
        <f t="shared" ref="E93:I94" si="40">E94</f>
        <v>0</v>
      </c>
      <c r="F93" s="253">
        <f t="shared" si="40"/>
        <v>4132.8</v>
      </c>
      <c r="G93" s="253">
        <f t="shared" si="40"/>
        <v>4132.8</v>
      </c>
      <c r="H93" s="253">
        <f t="shared" si="40"/>
        <v>0</v>
      </c>
      <c r="I93" s="253">
        <f t="shared" si="40"/>
        <v>4133</v>
      </c>
      <c r="J93" s="253">
        <f t="shared" si="34"/>
        <v>0</v>
      </c>
      <c r="L93" s="104"/>
    </row>
    <row r="94" spans="1:12" s="74" customFormat="1" ht="13.5">
      <c r="A94" s="643"/>
      <c r="B94" s="643"/>
      <c r="C94" s="286"/>
      <c r="D94" s="330" t="s">
        <v>355</v>
      </c>
      <c r="E94" s="103">
        <f>E95</f>
        <v>0</v>
      </c>
      <c r="F94" s="103">
        <f t="shared" si="40"/>
        <v>4132.8</v>
      </c>
      <c r="G94" s="103">
        <f t="shared" si="40"/>
        <v>4132.8</v>
      </c>
      <c r="H94" s="103">
        <f t="shared" si="40"/>
        <v>0</v>
      </c>
      <c r="I94" s="103">
        <f t="shared" si="40"/>
        <v>4133</v>
      </c>
      <c r="J94" s="103">
        <f t="shared" si="34"/>
        <v>0</v>
      </c>
    </row>
    <row r="95" spans="1:12" s="74" customFormat="1">
      <c r="A95" s="643"/>
      <c r="B95" s="675"/>
      <c r="C95" s="285"/>
      <c r="D95" s="331" t="s">
        <v>226</v>
      </c>
      <c r="E95" s="97">
        <v>0</v>
      </c>
      <c r="F95" s="97">
        <f>'[3]Wykonanie 8 2025'!I1034</f>
        <v>4132.8</v>
      </c>
      <c r="G95" s="97">
        <v>4132.8</v>
      </c>
      <c r="H95" s="97">
        <v>0</v>
      </c>
      <c r="I95" s="97">
        <v>4133</v>
      </c>
      <c r="J95" s="97">
        <f t="shared" si="34"/>
        <v>0</v>
      </c>
    </row>
    <row r="96" spans="1:12" s="74" customFormat="1" ht="25.5">
      <c r="A96" s="76" t="s">
        <v>357</v>
      </c>
      <c r="B96" s="76"/>
      <c r="C96" s="287"/>
      <c r="D96" s="249" t="s">
        <v>358</v>
      </c>
      <c r="E96" s="250">
        <f t="shared" ref="E96:I96" si="41">E97+E102</f>
        <v>420000</v>
      </c>
      <c r="F96" s="250">
        <f t="shared" si="41"/>
        <v>657732</v>
      </c>
      <c r="G96" s="250">
        <f t="shared" si="41"/>
        <v>625124.29</v>
      </c>
      <c r="H96" s="250">
        <f t="shared" si="41"/>
        <v>597000</v>
      </c>
      <c r="I96" s="250">
        <f t="shared" si="41"/>
        <v>597000</v>
      </c>
      <c r="J96" s="250">
        <f t="shared" si="34"/>
        <v>597000</v>
      </c>
    </row>
    <row r="97" spans="1:13" s="74" customFormat="1" ht="13.5">
      <c r="A97" s="642"/>
      <c r="B97" s="76" t="s">
        <v>287</v>
      </c>
      <c r="C97" s="272"/>
      <c r="D97" s="273" t="s">
        <v>359</v>
      </c>
      <c r="E97" s="288">
        <f t="shared" ref="E97:I97" si="42">E98</f>
        <v>420000</v>
      </c>
      <c r="F97" s="288">
        <f t="shared" si="42"/>
        <v>618000</v>
      </c>
      <c r="G97" s="288">
        <f t="shared" si="42"/>
        <v>625124.29</v>
      </c>
      <c r="H97" s="288">
        <f t="shared" si="42"/>
        <v>597000</v>
      </c>
      <c r="I97" s="288">
        <f t="shared" si="42"/>
        <v>597000</v>
      </c>
      <c r="J97" s="288">
        <f t="shared" si="34"/>
        <v>597000</v>
      </c>
    </row>
    <row r="98" spans="1:13" s="74" customFormat="1" ht="13.5">
      <c r="A98" s="643"/>
      <c r="B98" s="643"/>
      <c r="C98" s="256"/>
      <c r="D98" s="333" t="s">
        <v>288</v>
      </c>
      <c r="E98" s="79">
        <f t="shared" ref="E98:I98" si="43">E99+E100+E101</f>
        <v>420000</v>
      </c>
      <c r="F98" s="79">
        <f t="shared" si="43"/>
        <v>618000</v>
      </c>
      <c r="G98" s="79">
        <f t="shared" si="43"/>
        <v>625124.29</v>
      </c>
      <c r="H98" s="79">
        <f>I98</f>
        <v>597000</v>
      </c>
      <c r="I98" s="79">
        <f t="shared" si="43"/>
        <v>597000</v>
      </c>
      <c r="J98" s="79">
        <f t="shared" si="34"/>
        <v>597000</v>
      </c>
      <c r="K98" s="104"/>
    </row>
    <row r="99" spans="1:13" s="74" customFormat="1" ht="13.5">
      <c r="A99" s="643"/>
      <c r="B99" s="643"/>
      <c r="C99" s="285"/>
      <c r="D99" s="331" t="s">
        <v>230</v>
      </c>
      <c r="E99" s="289">
        <v>314025</v>
      </c>
      <c r="F99" s="289">
        <f>'[3]Wykonanie 8 2025'!I1054+'[3]Wykonanie 8 2025'!I1055+'[3]Wykonanie 8 2025'!I1057+'[3]Wykonanie 8 2025'!I1059+'[3]Wykonanie 8 2025'!I1061</f>
        <v>376448.58</v>
      </c>
      <c r="G99" s="289">
        <f>253869.69+20350.72+4422.31+6401.33+73000</f>
        <v>358044.05000000005</v>
      </c>
      <c r="H99" s="79">
        <f t="shared" ref="H99:H102" si="44">I99</f>
        <v>372448.58</v>
      </c>
      <c r="I99" s="289">
        <f>234320.5+20417.7+42552.46+6157.92+69000</f>
        <v>372448.58</v>
      </c>
      <c r="J99" s="79">
        <f t="shared" si="34"/>
        <v>372448.58</v>
      </c>
      <c r="K99" s="259"/>
      <c r="L99" s="259"/>
    </row>
    <row r="100" spans="1:13" s="74" customFormat="1" ht="13.5">
      <c r="A100" s="643"/>
      <c r="B100" s="643"/>
      <c r="C100" s="285"/>
      <c r="D100" s="283" t="s">
        <v>263</v>
      </c>
      <c r="E100" s="289">
        <v>300</v>
      </c>
      <c r="F100" s="289">
        <f>'[3]Wykonanie 8 2025'!I1052</f>
        <v>300</v>
      </c>
      <c r="G100" s="289">
        <v>300</v>
      </c>
      <c r="H100" s="79">
        <f t="shared" si="44"/>
        <v>300</v>
      </c>
      <c r="I100" s="289">
        <v>300</v>
      </c>
      <c r="J100" s="79">
        <f t="shared" si="34"/>
        <v>300</v>
      </c>
      <c r="K100" s="259"/>
      <c r="M100" s="259"/>
    </row>
    <row r="101" spans="1:13" s="74" customFormat="1" ht="13.5">
      <c r="A101" s="643"/>
      <c r="B101" s="675"/>
      <c r="C101" s="285"/>
      <c r="D101" s="331" t="s">
        <v>226</v>
      </c>
      <c r="E101" s="289">
        <v>105675</v>
      </c>
      <c r="F101" s="289">
        <f>'[3]Wykonanie 8 2025'!I1063+'[3]Wykonanie 8 2025'!I1065+'[3]Wykonanie 8 2025'!I1067+'[3]Wykonanie 8 2025'!I1069+'[3]Wykonanie 8 2025'!I1072+'[3]Wykonanie 8 2025'!I1074</f>
        <v>241251.42</v>
      </c>
      <c r="G101" s="289">
        <f>625124.29-G99-G100</f>
        <v>266780.24</v>
      </c>
      <c r="H101" s="79">
        <f t="shared" si="44"/>
        <v>224251.42</v>
      </c>
      <c r="I101" s="289">
        <f>2000+10000+156000+46000+3000+7251.42</f>
        <v>224251.42</v>
      </c>
      <c r="J101" s="79">
        <f t="shared" si="34"/>
        <v>224251.42</v>
      </c>
    </row>
    <row r="102" spans="1:13" s="74" customFormat="1" ht="13.5">
      <c r="A102" s="643"/>
      <c r="B102" s="76" t="s">
        <v>289</v>
      </c>
      <c r="C102" s="272"/>
      <c r="D102" s="273" t="s">
        <v>45</v>
      </c>
      <c r="E102" s="288">
        <f>E103</f>
        <v>0</v>
      </c>
      <c r="F102" s="288">
        <f>F103</f>
        <v>39732</v>
      </c>
      <c r="G102" s="288">
        <v>0</v>
      </c>
      <c r="H102" s="79">
        <f t="shared" si="44"/>
        <v>0</v>
      </c>
      <c r="I102" s="288">
        <f>I103</f>
        <v>0</v>
      </c>
      <c r="J102" s="79">
        <f t="shared" si="34"/>
        <v>0</v>
      </c>
      <c r="M102" s="259"/>
    </row>
    <row r="103" spans="1:13" s="74" customFormat="1" ht="13.5">
      <c r="A103" s="643"/>
      <c r="B103" s="643"/>
      <c r="C103" s="256"/>
      <c r="D103" s="333" t="s">
        <v>232</v>
      </c>
      <c r="E103" s="79">
        <f t="shared" ref="E103:I103" si="45">E104+E106+E105</f>
        <v>0</v>
      </c>
      <c r="F103" s="79">
        <f t="shared" si="45"/>
        <v>39732</v>
      </c>
      <c r="G103" s="79">
        <f t="shared" si="45"/>
        <v>0</v>
      </c>
      <c r="H103" s="79">
        <f t="shared" si="45"/>
        <v>0</v>
      </c>
      <c r="I103" s="79">
        <f t="shared" si="45"/>
        <v>0</v>
      </c>
      <c r="J103" s="79">
        <f t="shared" si="34"/>
        <v>0</v>
      </c>
      <c r="M103" s="259"/>
    </row>
    <row r="104" spans="1:13" s="74" customFormat="1">
      <c r="A104" s="643"/>
      <c r="B104" s="643"/>
      <c r="C104" s="285"/>
      <c r="D104" s="331" t="s">
        <v>230</v>
      </c>
      <c r="E104" s="289">
        <v>0</v>
      </c>
      <c r="F104" s="289">
        <v>0</v>
      </c>
      <c r="G104" s="289"/>
      <c r="H104" s="289">
        <v>0</v>
      </c>
      <c r="I104" s="289"/>
      <c r="J104" s="289">
        <f t="shared" si="34"/>
        <v>0</v>
      </c>
    </row>
    <row r="105" spans="1:13" s="74" customFormat="1">
      <c r="A105" s="643"/>
      <c r="B105" s="643"/>
      <c r="C105" s="285"/>
      <c r="D105" s="283" t="s">
        <v>263</v>
      </c>
      <c r="E105" s="289">
        <v>0</v>
      </c>
      <c r="F105" s="289">
        <f>'[3]Wykonanie 8 2025'!I1104</f>
        <v>39732</v>
      </c>
      <c r="G105" s="289"/>
      <c r="H105" s="289">
        <v>0</v>
      </c>
      <c r="I105" s="289">
        <v>0</v>
      </c>
      <c r="J105" s="289">
        <f t="shared" si="34"/>
        <v>0</v>
      </c>
      <c r="M105" s="259"/>
    </row>
    <row r="106" spans="1:13" s="74" customFormat="1">
      <c r="A106" s="675"/>
      <c r="B106" s="675"/>
      <c r="C106" s="285"/>
      <c r="D106" s="331" t="s">
        <v>226</v>
      </c>
      <c r="E106" s="289">
        <v>0</v>
      </c>
      <c r="F106" s="289">
        <v>0</v>
      </c>
      <c r="G106" s="289"/>
      <c r="H106" s="289">
        <v>0</v>
      </c>
      <c r="I106" s="289"/>
      <c r="J106" s="289">
        <f t="shared" si="34"/>
        <v>0</v>
      </c>
    </row>
    <row r="107" spans="1:13" s="294" customFormat="1">
      <c r="A107" s="290" t="s">
        <v>298</v>
      </c>
      <c r="B107" s="291"/>
      <c r="C107" s="340"/>
      <c r="D107" s="292" t="s">
        <v>190</v>
      </c>
      <c r="E107" s="293">
        <f t="shared" ref="E107:I107" si="46">+E108+E113</f>
        <v>0</v>
      </c>
      <c r="F107" s="293">
        <f t="shared" si="46"/>
        <v>125437</v>
      </c>
      <c r="G107" s="293">
        <f t="shared" si="46"/>
        <v>125437</v>
      </c>
      <c r="H107" s="293">
        <f t="shared" si="46"/>
        <v>0</v>
      </c>
      <c r="I107" s="293">
        <f t="shared" si="46"/>
        <v>0</v>
      </c>
      <c r="J107" s="293">
        <f t="shared" si="34"/>
        <v>0</v>
      </c>
      <c r="M107" s="560"/>
    </row>
    <row r="108" spans="1:13" s="294" customFormat="1" ht="12.75" customHeight="1">
      <c r="A108" s="676"/>
      <c r="B108" s="295" t="s">
        <v>299</v>
      </c>
      <c r="C108" s="272"/>
      <c r="D108" s="273" t="s">
        <v>191</v>
      </c>
      <c r="E108" s="288">
        <f t="shared" ref="E108:I108" si="47">E109</f>
        <v>0</v>
      </c>
      <c r="F108" s="288">
        <f t="shared" si="47"/>
        <v>0</v>
      </c>
      <c r="G108" s="288">
        <f t="shared" si="47"/>
        <v>0</v>
      </c>
      <c r="H108" s="288">
        <f t="shared" si="47"/>
        <v>0</v>
      </c>
      <c r="I108" s="288">
        <f t="shared" si="47"/>
        <v>0</v>
      </c>
      <c r="J108" s="288">
        <f t="shared" si="34"/>
        <v>0</v>
      </c>
    </row>
    <row r="109" spans="1:13" s="294" customFormat="1" ht="12.75" customHeight="1">
      <c r="A109" s="677"/>
      <c r="B109" s="296"/>
      <c r="C109" s="256"/>
      <c r="D109" s="333" t="s">
        <v>217</v>
      </c>
      <c r="E109" s="79">
        <f t="shared" ref="E109:I109" si="48">E110+E111+E112</f>
        <v>0</v>
      </c>
      <c r="F109" s="79">
        <f t="shared" si="48"/>
        <v>0</v>
      </c>
      <c r="G109" s="79">
        <f t="shared" si="48"/>
        <v>0</v>
      </c>
      <c r="H109" s="79">
        <f t="shared" si="48"/>
        <v>0</v>
      </c>
      <c r="I109" s="79">
        <f t="shared" si="48"/>
        <v>0</v>
      </c>
      <c r="J109" s="79">
        <f t="shared" si="34"/>
        <v>0</v>
      </c>
      <c r="M109" s="560"/>
    </row>
    <row r="110" spans="1:13" s="294" customFormat="1" ht="12.75" customHeight="1">
      <c r="A110" s="677"/>
      <c r="B110" s="297"/>
      <c r="C110" s="285"/>
      <c r="D110" s="331" t="s">
        <v>230</v>
      </c>
      <c r="E110" s="289">
        <v>0</v>
      </c>
      <c r="F110" s="289">
        <v>0</v>
      </c>
      <c r="G110" s="289"/>
      <c r="H110" s="289">
        <v>0</v>
      </c>
      <c r="I110" s="289">
        <v>0</v>
      </c>
      <c r="J110" s="289">
        <f t="shared" si="34"/>
        <v>0</v>
      </c>
    </row>
    <row r="111" spans="1:13" s="294" customFormat="1" ht="12.75" customHeight="1">
      <c r="A111" s="677"/>
      <c r="B111" s="297"/>
      <c r="C111" s="285"/>
      <c r="D111" s="283" t="s">
        <v>263</v>
      </c>
      <c r="E111" s="289">
        <v>0</v>
      </c>
      <c r="F111" s="289">
        <v>0</v>
      </c>
      <c r="G111" s="289"/>
      <c r="H111" s="289">
        <v>0</v>
      </c>
      <c r="I111" s="289">
        <v>0</v>
      </c>
      <c r="J111" s="289">
        <f t="shared" si="34"/>
        <v>0</v>
      </c>
    </row>
    <row r="112" spans="1:13" s="294" customFormat="1" ht="12.75" customHeight="1">
      <c r="A112" s="677"/>
      <c r="B112" s="298"/>
      <c r="C112" s="285"/>
      <c r="D112" s="331" t="s">
        <v>226</v>
      </c>
      <c r="E112" s="289">
        <v>0</v>
      </c>
      <c r="F112" s="289">
        <v>0</v>
      </c>
      <c r="G112" s="289"/>
      <c r="H112" s="289">
        <v>0</v>
      </c>
      <c r="I112" s="289">
        <v>0</v>
      </c>
      <c r="J112" s="289">
        <f t="shared" si="34"/>
        <v>0</v>
      </c>
    </row>
    <row r="113" spans="1:14" s="294" customFormat="1" ht="12.75" customHeight="1">
      <c r="A113" s="677"/>
      <c r="B113" s="295" t="s">
        <v>300</v>
      </c>
      <c r="C113" s="272"/>
      <c r="D113" s="273" t="s">
        <v>194</v>
      </c>
      <c r="E113" s="288">
        <f t="shared" ref="E113:I113" si="49">E114</f>
        <v>0</v>
      </c>
      <c r="F113" s="288">
        <f t="shared" si="49"/>
        <v>125437</v>
      </c>
      <c r="G113" s="288">
        <f t="shared" si="49"/>
        <v>125437</v>
      </c>
      <c r="H113" s="288">
        <f t="shared" si="49"/>
        <v>0</v>
      </c>
      <c r="I113" s="288">
        <f t="shared" si="49"/>
        <v>0</v>
      </c>
      <c r="J113" s="288">
        <f t="shared" si="34"/>
        <v>0</v>
      </c>
    </row>
    <row r="114" spans="1:14" s="294" customFormat="1" ht="12.75" customHeight="1">
      <c r="A114" s="677"/>
      <c r="B114" s="296"/>
      <c r="C114" s="256"/>
      <c r="D114" s="333" t="s">
        <v>196</v>
      </c>
      <c r="E114" s="79">
        <f t="shared" ref="E114:I114" si="50">E115+E116+E117</f>
        <v>0</v>
      </c>
      <c r="F114" s="79">
        <f t="shared" si="50"/>
        <v>125437</v>
      </c>
      <c r="G114" s="79">
        <f t="shared" si="50"/>
        <v>125437</v>
      </c>
      <c r="H114" s="79">
        <v>0</v>
      </c>
      <c r="I114" s="79">
        <f t="shared" si="50"/>
        <v>0</v>
      </c>
      <c r="J114" s="79">
        <f t="shared" si="34"/>
        <v>0</v>
      </c>
    </row>
    <row r="115" spans="1:14" s="294" customFormat="1" ht="12.75" customHeight="1">
      <c r="A115" s="677"/>
      <c r="B115" s="297"/>
      <c r="C115" s="285"/>
      <c r="D115" s="331" t="s">
        <v>230</v>
      </c>
      <c r="E115" s="289">
        <v>0</v>
      </c>
      <c r="F115" s="289">
        <f>'[3]Wykonanie 8 2025'!I1299+'[3]Wykonanie 8 2025'!I1301+'[3]Wykonanie 8 2025'!I1304</f>
        <v>95928</v>
      </c>
      <c r="G115" s="289">
        <f>F115</f>
        <v>95928</v>
      </c>
      <c r="H115" s="289">
        <v>0</v>
      </c>
      <c r="I115" s="289">
        <v>0</v>
      </c>
      <c r="J115" s="289">
        <f t="shared" si="34"/>
        <v>0</v>
      </c>
    </row>
    <row r="116" spans="1:14" s="294" customFormat="1" ht="12.75" customHeight="1">
      <c r="A116" s="677"/>
      <c r="B116" s="297"/>
      <c r="C116" s="285"/>
      <c r="D116" s="283" t="s">
        <v>263</v>
      </c>
      <c r="E116" s="289">
        <v>0</v>
      </c>
      <c r="F116" s="289">
        <f>'[3]Wykonanie 8 2025'!I1296</f>
        <v>1000</v>
      </c>
      <c r="G116" s="289">
        <f t="shared" ref="G116:G117" si="51">F116</f>
        <v>1000</v>
      </c>
      <c r="H116" s="289">
        <v>0</v>
      </c>
      <c r="I116" s="289">
        <v>0</v>
      </c>
      <c r="J116" s="289">
        <f t="shared" si="34"/>
        <v>0</v>
      </c>
    </row>
    <row r="117" spans="1:14" s="294" customFormat="1" ht="12.75" customHeight="1">
      <c r="A117" s="678"/>
      <c r="B117" s="298"/>
      <c r="C117" s="285"/>
      <c r="D117" s="331" t="s">
        <v>226</v>
      </c>
      <c r="E117" s="289">
        <v>0</v>
      </c>
      <c r="F117" s="289">
        <f>'[3]Wykonanie 8 2025'!I1307+'[3]Wykonanie 8 2025'!I1308+'[3]Wykonanie 8 2025'!I1310+'[3]Wykonanie 8 2025'!I1313+'[3]Wykonanie 8 2025'!I1318+'[3]Wykonanie 8 2025'!I1321+'[3]Wykonanie 8 2025'!I1325</f>
        <v>28509</v>
      </c>
      <c r="G117" s="289">
        <f t="shared" si="51"/>
        <v>28509</v>
      </c>
      <c r="H117" s="289">
        <v>0</v>
      </c>
      <c r="I117" s="289">
        <v>0</v>
      </c>
      <c r="J117" s="289">
        <f t="shared" si="34"/>
        <v>0</v>
      </c>
    </row>
    <row r="118" spans="1:14">
      <c r="A118" s="679" t="s">
        <v>203</v>
      </c>
      <c r="B118" s="680"/>
      <c r="C118" s="681"/>
      <c r="D118" s="299"/>
      <c r="E118" s="300">
        <f t="shared" ref="E118:J118" si="52">E12+E20+E44+E49+E59+E70+E76+E84+E88+E96+E107</f>
        <v>10004486</v>
      </c>
      <c r="F118" s="300">
        <f t="shared" si="52"/>
        <v>13450727.07</v>
      </c>
      <c r="G118" s="300">
        <f t="shared" si="52"/>
        <v>14114984.77</v>
      </c>
      <c r="H118" s="300">
        <f t="shared" si="52"/>
        <v>12639723</v>
      </c>
      <c r="I118" s="300">
        <f t="shared" si="52"/>
        <v>14051002.5</v>
      </c>
      <c r="J118" s="300">
        <f t="shared" si="52"/>
        <v>12639723</v>
      </c>
      <c r="L118" s="301"/>
      <c r="N118" s="302"/>
    </row>
    <row r="119" spans="1:14">
      <c r="G119" s="304"/>
      <c r="H119" s="304"/>
      <c r="I119" s="306"/>
      <c r="J119" s="304"/>
    </row>
    <row r="120" spans="1:14">
      <c r="G120" s="304"/>
      <c r="H120" s="304"/>
      <c r="I120" s="304"/>
      <c r="J120" s="304"/>
    </row>
    <row r="121" spans="1:14">
      <c r="G121" s="304"/>
      <c r="H121" s="304"/>
      <c r="I121" s="304"/>
      <c r="J121" s="304"/>
    </row>
    <row r="122" spans="1:14">
      <c r="G122" s="304"/>
      <c r="H122" s="304"/>
      <c r="I122" s="304"/>
      <c r="J122" s="304"/>
    </row>
    <row r="123" spans="1:14">
      <c r="H123" s="307"/>
      <c r="J123" s="307"/>
    </row>
  </sheetData>
  <mergeCells count="37">
    <mergeCell ref="A1:H4"/>
    <mergeCell ref="A7:A10"/>
    <mergeCell ref="B7:B10"/>
    <mergeCell ref="C7:C10"/>
    <mergeCell ref="D7:D10"/>
    <mergeCell ref="E7:G7"/>
    <mergeCell ref="H7:I7"/>
    <mergeCell ref="E8:E9"/>
    <mergeCell ref="F8:F9"/>
    <mergeCell ref="G8:G9"/>
    <mergeCell ref="A93:A95"/>
    <mergeCell ref="B94:B95"/>
    <mergeCell ref="A45:A48"/>
    <mergeCell ref="C47:C48"/>
    <mergeCell ref="A50:A53"/>
    <mergeCell ref="A60:A69"/>
    <mergeCell ref="B72:B75"/>
    <mergeCell ref="C73:C75"/>
    <mergeCell ref="J8:J9"/>
    <mergeCell ref="B78:B83"/>
    <mergeCell ref="A85:A87"/>
    <mergeCell ref="A89:A92"/>
    <mergeCell ref="B90:B92"/>
    <mergeCell ref="H8:H9"/>
    <mergeCell ref="I8:I9"/>
    <mergeCell ref="E10:I10"/>
    <mergeCell ref="C18:C19"/>
    <mergeCell ref="A21:A43"/>
    <mergeCell ref="B22:B31"/>
    <mergeCell ref="B36:B40"/>
    <mergeCell ref="C37:C40"/>
    <mergeCell ref="B42:B43"/>
    <mergeCell ref="A97:A106"/>
    <mergeCell ref="B98:B101"/>
    <mergeCell ref="B103:B106"/>
    <mergeCell ref="A108:A117"/>
    <mergeCell ref="A118:C118"/>
  </mergeCells>
  <printOptions horizontalCentered="1"/>
  <pageMargins left="0" right="0" top="0" bottom="0.35433070866141736" header="0" footer="0.23622047244094491"/>
  <pageSetup paperSize="9" scale="85" fitToWidth="4" fitToHeight="4" orientation="landscape" r:id="rId1"/>
  <headerFooter alignWithMargins="0">
    <oddFooter>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63776-9F59-490E-B9E8-886AEDA7B446}">
  <dimension ref="A1:O34"/>
  <sheetViews>
    <sheetView zoomScaleNormal="100" workbookViewId="0">
      <selection sqref="A1:J23"/>
    </sheetView>
  </sheetViews>
  <sheetFormatPr defaultRowHeight="12.75"/>
  <cols>
    <col min="1" max="1" width="4.85546875" style="18" customWidth="1"/>
    <col min="2" max="3" width="7.140625" style="18" customWidth="1"/>
    <col min="4" max="4" width="52.42578125" style="235" customWidth="1"/>
    <col min="5" max="6" width="11.140625" style="236" customWidth="1"/>
    <col min="7" max="7" width="9.7109375" style="18" bestFit="1" customWidth="1"/>
    <col min="8" max="8" width="11.140625" style="234" customWidth="1"/>
    <col min="9" max="9" width="13.140625" style="18" customWidth="1"/>
    <col min="10" max="10" width="11.28515625" style="18" customWidth="1"/>
    <col min="11" max="11" width="8.7109375" style="18" bestFit="1" customWidth="1"/>
    <col min="12" max="256" width="9.140625" style="18"/>
    <col min="257" max="257" width="4.85546875" style="18" customWidth="1"/>
    <col min="258" max="259" width="7.140625" style="18" customWidth="1"/>
    <col min="260" max="260" width="52.42578125" style="18" customWidth="1"/>
    <col min="261" max="262" width="11.140625" style="18" customWidth="1"/>
    <col min="263" max="263" width="9.7109375" style="18" bestFit="1" customWidth="1"/>
    <col min="264" max="264" width="11.140625" style="18" customWidth="1"/>
    <col min="265" max="265" width="13.140625" style="18" customWidth="1"/>
    <col min="266" max="266" width="11.28515625" style="18" customWidth="1"/>
    <col min="267" max="267" width="8.7109375" style="18" bestFit="1" customWidth="1"/>
    <col min="268" max="512" width="9.140625" style="18"/>
    <col min="513" max="513" width="4.85546875" style="18" customWidth="1"/>
    <col min="514" max="515" width="7.140625" style="18" customWidth="1"/>
    <col min="516" max="516" width="52.42578125" style="18" customWidth="1"/>
    <col min="517" max="518" width="11.140625" style="18" customWidth="1"/>
    <col min="519" max="519" width="9.7109375" style="18" bestFit="1" customWidth="1"/>
    <col min="520" max="520" width="11.140625" style="18" customWidth="1"/>
    <col min="521" max="521" width="13.140625" style="18" customWidth="1"/>
    <col min="522" max="522" width="11.28515625" style="18" customWidth="1"/>
    <col min="523" max="523" width="8.7109375" style="18" bestFit="1" customWidth="1"/>
    <col min="524" max="768" width="9.140625" style="18"/>
    <col min="769" max="769" width="4.85546875" style="18" customWidth="1"/>
    <col min="770" max="771" width="7.140625" style="18" customWidth="1"/>
    <col min="772" max="772" width="52.42578125" style="18" customWidth="1"/>
    <col min="773" max="774" width="11.140625" style="18" customWidth="1"/>
    <col min="775" max="775" width="9.7109375" style="18" bestFit="1" customWidth="1"/>
    <col min="776" max="776" width="11.140625" style="18" customWidth="1"/>
    <col min="777" max="777" width="13.140625" style="18" customWidth="1"/>
    <col min="778" max="778" width="11.28515625" style="18" customWidth="1"/>
    <col min="779" max="779" width="8.7109375" style="18" bestFit="1" customWidth="1"/>
    <col min="780" max="1024" width="9.140625" style="18"/>
    <col min="1025" max="1025" width="4.85546875" style="18" customWidth="1"/>
    <col min="1026" max="1027" width="7.140625" style="18" customWidth="1"/>
    <col min="1028" max="1028" width="52.42578125" style="18" customWidth="1"/>
    <col min="1029" max="1030" width="11.140625" style="18" customWidth="1"/>
    <col min="1031" max="1031" width="9.7109375" style="18" bestFit="1" customWidth="1"/>
    <col min="1032" max="1032" width="11.140625" style="18" customWidth="1"/>
    <col min="1033" max="1033" width="13.140625" style="18" customWidth="1"/>
    <col min="1034" max="1034" width="11.28515625" style="18" customWidth="1"/>
    <col min="1035" max="1035" width="8.7109375" style="18" bestFit="1" customWidth="1"/>
    <col min="1036" max="1280" width="9.140625" style="18"/>
    <col min="1281" max="1281" width="4.85546875" style="18" customWidth="1"/>
    <col min="1282" max="1283" width="7.140625" style="18" customWidth="1"/>
    <col min="1284" max="1284" width="52.42578125" style="18" customWidth="1"/>
    <col min="1285" max="1286" width="11.140625" style="18" customWidth="1"/>
    <col min="1287" max="1287" width="9.7109375" style="18" bestFit="1" customWidth="1"/>
    <col min="1288" max="1288" width="11.140625" style="18" customWidth="1"/>
    <col min="1289" max="1289" width="13.140625" style="18" customWidth="1"/>
    <col min="1290" max="1290" width="11.28515625" style="18" customWidth="1"/>
    <col min="1291" max="1291" width="8.7109375" style="18" bestFit="1" customWidth="1"/>
    <col min="1292" max="1536" width="9.140625" style="18"/>
    <col min="1537" max="1537" width="4.85546875" style="18" customWidth="1"/>
    <col min="1538" max="1539" width="7.140625" style="18" customWidth="1"/>
    <col min="1540" max="1540" width="52.42578125" style="18" customWidth="1"/>
    <col min="1541" max="1542" width="11.140625" style="18" customWidth="1"/>
    <col min="1543" max="1543" width="9.7109375" style="18" bestFit="1" customWidth="1"/>
    <col min="1544" max="1544" width="11.140625" style="18" customWidth="1"/>
    <col min="1545" max="1545" width="13.140625" style="18" customWidth="1"/>
    <col min="1546" max="1546" width="11.28515625" style="18" customWidth="1"/>
    <col min="1547" max="1547" width="8.7109375" style="18" bestFit="1" customWidth="1"/>
    <col min="1548" max="1792" width="9.140625" style="18"/>
    <col min="1793" max="1793" width="4.85546875" style="18" customWidth="1"/>
    <col min="1794" max="1795" width="7.140625" style="18" customWidth="1"/>
    <col min="1796" max="1796" width="52.42578125" style="18" customWidth="1"/>
    <col min="1797" max="1798" width="11.140625" style="18" customWidth="1"/>
    <col min="1799" max="1799" width="9.7109375" style="18" bestFit="1" customWidth="1"/>
    <col min="1800" max="1800" width="11.140625" style="18" customWidth="1"/>
    <col min="1801" max="1801" width="13.140625" style="18" customWidth="1"/>
    <col min="1802" max="1802" width="11.28515625" style="18" customWidth="1"/>
    <col min="1803" max="1803" width="8.7109375" style="18" bestFit="1" customWidth="1"/>
    <col min="1804" max="2048" width="9.140625" style="18"/>
    <col min="2049" max="2049" width="4.85546875" style="18" customWidth="1"/>
    <col min="2050" max="2051" width="7.140625" style="18" customWidth="1"/>
    <col min="2052" max="2052" width="52.42578125" style="18" customWidth="1"/>
    <col min="2053" max="2054" width="11.140625" style="18" customWidth="1"/>
    <col min="2055" max="2055" width="9.7109375" style="18" bestFit="1" customWidth="1"/>
    <col min="2056" max="2056" width="11.140625" style="18" customWidth="1"/>
    <col min="2057" max="2057" width="13.140625" style="18" customWidth="1"/>
    <col min="2058" max="2058" width="11.28515625" style="18" customWidth="1"/>
    <col min="2059" max="2059" width="8.7109375" style="18" bestFit="1" customWidth="1"/>
    <col min="2060" max="2304" width="9.140625" style="18"/>
    <col min="2305" max="2305" width="4.85546875" style="18" customWidth="1"/>
    <col min="2306" max="2307" width="7.140625" style="18" customWidth="1"/>
    <col min="2308" max="2308" width="52.42578125" style="18" customWidth="1"/>
    <col min="2309" max="2310" width="11.140625" style="18" customWidth="1"/>
    <col min="2311" max="2311" width="9.7109375" style="18" bestFit="1" customWidth="1"/>
    <col min="2312" max="2312" width="11.140625" style="18" customWidth="1"/>
    <col min="2313" max="2313" width="13.140625" style="18" customWidth="1"/>
    <col min="2314" max="2314" width="11.28515625" style="18" customWidth="1"/>
    <col min="2315" max="2315" width="8.7109375" style="18" bestFit="1" customWidth="1"/>
    <col min="2316" max="2560" width="9.140625" style="18"/>
    <col min="2561" max="2561" width="4.85546875" style="18" customWidth="1"/>
    <col min="2562" max="2563" width="7.140625" style="18" customWidth="1"/>
    <col min="2564" max="2564" width="52.42578125" style="18" customWidth="1"/>
    <col min="2565" max="2566" width="11.140625" style="18" customWidth="1"/>
    <col min="2567" max="2567" width="9.7109375" style="18" bestFit="1" customWidth="1"/>
    <col min="2568" max="2568" width="11.140625" style="18" customWidth="1"/>
    <col min="2569" max="2569" width="13.140625" style="18" customWidth="1"/>
    <col min="2570" max="2570" width="11.28515625" style="18" customWidth="1"/>
    <col min="2571" max="2571" width="8.7109375" style="18" bestFit="1" customWidth="1"/>
    <col min="2572" max="2816" width="9.140625" style="18"/>
    <col min="2817" max="2817" width="4.85546875" style="18" customWidth="1"/>
    <col min="2818" max="2819" width="7.140625" style="18" customWidth="1"/>
    <col min="2820" max="2820" width="52.42578125" style="18" customWidth="1"/>
    <col min="2821" max="2822" width="11.140625" style="18" customWidth="1"/>
    <col min="2823" max="2823" width="9.7109375" style="18" bestFit="1" customWidth="1"/>
    <col min="2824" max="2824" width="11.140625" style="18" customWidth="1"/>
    <col min="2825" max="2825" width="13.140625" style="18" customWidth="1"/>
    <col min="2826" max="2826" width="11.28515625" style="18" customWidth="1"/>
    <col min="2827" max="2827" width="8.7109375" style="18" bestFit="1" customWidth="1"/>
    <col min="2828" max="3072" width="9.140625" style="18"/>
    <col min="3073" max="3073" width="4.85546875" style="18" customWidth="1"/>
    <col min="3074" max="3075" width="7.140625" style="18" customWidth="1"/>
    <col min="3076" max="3076" width="52.42578125" style="18" customWidth="1"/>
    <col min="3077" max="3078" width="11.140625" style="18" customWidth="1"/>
    <col min="3079" max="3079" width="9.7109375" style="18" bestFit="1" customWidth="1"/>
    <col min="3080" max="3080" width="11.140625" style="18" customWidth="1"/>
    <col min="3081" max="3081" width="13.140625" style="18" customWidth="1"/>
    <col min="3082" max="3082" width="11.28515625" style="18" customWidth="1"/>
    <col min="3083" max="3083" width="8.7109375" style="18" bestFit="1" customWidth="1"/>
    <col min="3084" max="3328" width="9.140625" style="18"/>
    <col min="3329" max="3329" width="4.85546875" style="18" customWidth="1"/>
    <col min="3330" max="3331" width="7.140625" style="18" customWidth="1"/>
    <col min="3332" max="3332" width="52.42578125" style="18" customWidth="1"/>
    <col min="3333" max="3334" width="11.140625" style="18" customWidth="1"/>
    <col min="3335" max="3335" width="9.7109375" style="18" bestFit="1" customWidth="1"/>
    <col min="3336" max="3336" width="11.140625" style="18" customWidth="1"/>
    <col min="3337" max="3337" width="13.140625" style="18" customWidth="1"/>
    <col min="3338" max="3338" width="11.28515625" style="18" customWidth="1"/>
    <col min="3339" max="3339" width="8.7109375" style="18" bestFit="1" customWidth="1"/>
    <col min="3340" max="3584" width="9.140625" style="18"/>
    <col min="3585" max="3585" width="4.85546875" style="18" customWidth="1"/>
    <col min="3586" max="3587" width="7.140625" style="18" customWidth="1"/>
    <col min="3588" max="3588" width="52.42578125" style="18" customWidth="1"/>
    <col min="3589" max="3590" width="11.140625" style="18" customWidth="1"/>
    <col min="3591" max="3591" width="9.7109375" style="18" bestFit="1" customWidth="1"/>
    <col min="3592" max="3592" width="11.140625" style="18" customWidth="1"/>
    <col min="3593" max="3593" width="13.140625" style="18" customWidth="1"/>
    <col min="3594" max="3594" width="11.28515625" style="18" customWidth="1"/>
    <col min="3595" max="3595" width="8.7109375" style="18" bestFit="1" customWidth="1"/>
    <col min="3596" max="3840" width="9.140625" style="18"/>
    <col min="3841" max="3841" width="4.85546875" style="18" customWidth="1"/>
    <col min="3842" max="3843" width="7.140625" style="18" customWidth="1"/>
    <col min="3844" max="3844" width="52.42578125" style="18" customWidth="1"/>
    <col min="3845" max="3846" width="11.140625" style="18" customWidth="1"/>
    <col min="3847" max="3847" width="9.7109375" style="18" bestFit="1" customWidth="1"/>
    <col min="3848" max="3848" width="11.140625" style="18" customWidth="1"/>
    <col min="3849" max="3849" width="13.140625" style="18" customWidth="1"/>
    <col min="3850" max="3850" width="11.28515625" style="18" customWidth="1"/>
    <col min="3851" max="3851" width="8.7109375" style="18" bestFit="1" customWidth="1"/>
    <col min="3852" max="4096" width="9.140625" style="18"/>
    <col min="4097" max="4097" width="4.85546875" style="18" customWidth="1"/>
    <col min="4098" max="4099" width="7.140625" style="18" customWidth="1"/>
    <col min="4100" max="4100" width="52.42578125" style="18" customWidth="1"/>
    <col min="4101" max="4102" width="11.140625" style="18" customWidth="1"/>
    <col min="4103" max="4103" width="9.7109375" style="18" bestFit="1" customWidth="1"/>
    <col min="4104" max="4104" width="11.140625" style="18" customWidth="1"/>
    <col min="4105" max="4105" width="13.140625" style="18" customWidth="1"/>
    <col min="4106" max="4106" width="11.28515625" style="18" customWidth="1"/>
    <col min="4107" max="4107" width="8.7109375" style="18" bestFit="1" customWidth="1"/>
    <col min="4108" max="4352" width="9.140625" style="18"/>
    <col min="4353" max="4353" width="4.85546875" style="18" customWidth="1"/>
    <col min="4354" max="4355" width="7.140625" style="18" customWidth="1"/>
    <col min="4356" max="4356" width="52.42578125" style="18" customWidth="1"/>
    <col min="4357" max="4358" width="11.140625" style="18" customWidth="1"/>
    <col min="4359" max="4359" width="9.7109375" style="18" bestFit="1" customWidth="1"/>
    <col min="4360" max="4360" width="11.140625" style="18" customWidth="1"/>
    <col min="4361" max="4361" width="13.140625" style="18" customWidth="1"/>
    <col min="4362" max="4362" width="11.28515625" style="18" customWidth="1"/>
    <col min="4363" max="4363" width="8.7109375" style="18" bestFit="1" customWidth="1"/>
    <col min="4364" max="4608" width="9.140625" style="18"/>
    <col min="4609" max="4609" width="4.85546875" style="18" customWidth="1"/>
    <col min="4610" max="4611" width="7.140625" style="18" customWidth="1"/>
    <col min="4612" max="4612" width="52.42578125" style="18" customWidth="1"/>
    <col min="4613" max="4614" width="11.140625" style="18" customWidth="1"/>
    <col min="4615" max="4615" width="9.7109375" style="18" bestFit="1" customWidth="1"/>
    <col min="4616" max="4616" width="11.140625" style="18" customWidth="1"/>
    <col min="4617" max="4617" width="13.140625" style="18" customWidth="1"/>
    <col min="4618" max="4618" width="11.28515625" style="18" customWidth="1"/>
    <col min="4619" max="4619" width="8.7109375" style="18" bestFit="1" customWidth="1"/>
    <col min="4620" max="4864" width="9.140625" style="18"/>
    <col min="4865" max="4865" width="4.85546875" style="18" customWidth="1"/>
    <col min="4866" max="4867" width="7.140625" style="18" customWidth="1"/>
    <col min="4868" max="4868" width="52.42578125" style="18" customWidth="1"/>
    <col min="4869" max="4870" width="11.140625" style="18" customWidth="1"/>
    <col min="4871" max="4871" width="9.7109375" style="18" bestFit="1" customWidth="1"/>
    <col min="4872" max="4872" width="11.140625" style="18" customWidth="1"/>
    <col min="4873" max="4873" width="13.140625" style="18" customWidth="1"/>
    <col min="4874" max="4874" width="11.28515625" style="18" customWidth="1"/>
    <col min="4875" max="4875" width="8.7109375" style="18" bestFit="1" customWidth="1"/>
    <col min="4876" max="5120" width="9.140625" style="18"/>
    <col min="5121" max="5121" width="4.85546875" style="18" customWidth="1"/>
    <col min="5122" max="5123" width="7.140625" style="18" customWidth="1"/>
    <col min="5124" max="5124" width="52.42578125" style="18" customWidth="1"/>
    <col min="5125" max="5126" width="11.140625" style="18" customWidth="1"/>
    <col min="5127" max="5127" width="9.7109375" style="18" bestFit="1" customWidth="1"/>
    <col min="5128" max="5128" width="11.140625" style="18" customWidth="1"/>
    <col min="5129" max="5129" width="13.140625" style="18" customWidth="1"/>
    <col min="5130" max="5130" width="11.28515625" style="18" customWidth="1"/>
    <col min="5131" max="5131" width="8.7109375" style="18" bestFit="1" customWidth="1"/>
    <col min="5132" max="5376" width="9.140625" style="18"/>
    <col min="5377" max="5377" width="4.85546875" style="18" customWidth="1"/>
    <col min="5378" max="5379" width="7.140625" style="18" customWidth="1"/>
    <col min="5380" max="5380" width="52.42578125" style="18" customWidth="1"/>
    <col min="5381" max="5382" width="11.140625" style="18" customWidth="1"/>
    <col min="5383" max="5383" width="9.7109375" style="18" bestFit="1" customWidth="1"/>
    <col min="5384" max="5384" width="11.140625" style="18" customWidth="1"/>
    <col min="5385" max="5385" width="13.140625" style="18" customWidth="1"/>
    <col min="5386" max="5386" width="11.28515625" style="18" customWidth="1"/>
    <col min="5387" max="5387" width="8.7109375" style="18" bestFit="1" customWidth="1"/>
    <col min="5388" max="5632" width="9.140625" style="18"/>
    <col min="5633" max="5633" width="4.85546875" style="18" customWidth="1"/>
    <col min="5634" max="5635" width="7.140625" style="18" customWidth="1"/>
    <col min="5636" max="5636" width="52.42578125" style="18" customWidth="1"/>
    <col min="5637" max="5638" width="11.140625" style="18" customWidth="1"/>
    <col min="5639" max="5639" width="9.7109375" style="18" bestFit="1" customWidth="1"/>
    <col min="5640" max="5640" width="11.140625" style="18" customWidth="1"/>
    <col min="5641" max="5641" width="13.140625" style="18" customWidth="1"/>
    <col min="5642" max="5642" width="11.28515625" style="18" customWidth="1"/>
    <col min="5643" max="5643" width="8.7109375" style="18" bestFit="1" customWidth="1"/>
    <col min="5644" max="5888" width="9.140625" style="18"/>
    <col min="5889" max="5889" width="4.85546875" style="18" customWidth="1"/>
    <col min="5890" max="5891" width="7.140625" style="18" customWidth="1"/>
    <col min="5892" max="5892" width="52.42578125" style="18" customWidth="1"/>
    <col min="5893" max="5894" width="11.140625" style="18" customWidth="1"/>
    <col min="5895" max="5895" width="9.7109375" style="18" bestFit="1" customWidth="1"/>
    <col min="5896" max="5896" width="11.140625" style="18" customWidth="1"/>
    <col min="5897" max="5897" width="13.140625" style="18" customWidth="1"/>
    <col min="5898" max="5898" width="11.28515625" style="18" customWidth="1"/>
    <col min="5899" max="5899" width="8.7109375" style="18" bestFit="1" customWidth="1"/>
    <col min="5900" max="6144" width="9.140625" style="18"/>
    <col min="6145" max="6145" width="4.85546875" style="18" customWidth="1"/>
    <col min="6146" max="6147" width="7.140625" style="18" customWidth="1"/>
    <col min="6148" max="6148" width="52.42578125" style="18" customWidth="1"/>
    <col min="6149" max="6150" width="11.140625" style="18" customWidth="1"/>
    <col min="6151" max="6151" width="9.7109375" style="18" bestFit="1" customWidth="1"/>
    <col min="6152" max="6152" width="11.140625" style="18" customWidth="1"/>
    <col min="6153" max="6153" width="13.140625" style="18" customWidth="1"/>
    <col min="6154" max="6154" width="11.28515625" style="18" customWidth="1"/>
    <col min="6155" max="6155" width="8.7109375" style="18" bestFit="1" customWidth="1"/>
    <col min="6156" max="6400" width="9.140625" style="18"/>
    <col min="6401" max="6401" width="4.85546875" style="18" customWidth="1"/>
    <col min="6402" max="6403" width="7.140625" style="18" customWidth="1"/>
    <col min="6404" max="6404" width="52.42578125" style="18" customWidth="1"/>
    <col min="6405" max="6406" width="11.140625" style="18" customWidth="1"/>
    <col min="6407" max="6407" width="9.7109375" style="18" bestFit="1" customWidth="1"/>
    <col min="6408" max="6408" width="11.140625" style="18" customWidth="1"/>
    <col min="6409" max="6409" width="13.140625" style="18" customWidth="1"/>
    <col min="6410" max="6410" width="11.28515625" style="18" customWidth="1"/>
    <col min="6411" max="6411" width="8.7109375" style="18" bestFit="1" customWidth="1"/>
    <col min="6412" max="6656" width="9.140625" style="18"/>
    <col min="6657" max="6657" width="4.85546875" style="18" customWidth="1"/>
    <col min="6658" max="6659" width="7.140625" style="18" customWidth="1"/>
    <col min="6660" max="6660" width="52.42578125" style="18" customWidth="1"/>
    <col min="6661" max="6662" width="11.140625" style="18" customWidth="1"/>
    <col min="6663" max="6663" width="9.7109375" style="18" bestFit="1" customWidth="1"/>
    <col min="6664" max="6664" width="11.140625" style="18" customWidth="1"/>
    <col min="6665" max="6665" width="13.140625" style="18" customWidth="1"/>
    <col min="6666" max="6666" width="11.28515625" style="18" customWidth="1"/>
    <col min="6667" max="6667" width="8.7109375" style="18" bestFit="1" customWidth="1"/>
    <col min="6668" max="6912" width="9.140625" style="18"/>
    <col min="6913" max="6913" width="4.85546875" style="18" customWidth="1"/>
    <col min="6914" max="6915" width="7.140625" style="18" customWidth="1"/>
    <col min="6916" max="6916" width="52.42578125" style="18" customWidth="1"/>
    <col min="6917" max="6918" width="11.140625" style="18" customWidth="1"/>
    <col min="6919" max="6919" width="9.7109375" style="18" bestFit="1" customWidth="1"/>
    <col min="6920" max="6920" width="11.140625" style="18" customWidth="1"/>
    <col min="6921" max="6921" width="13.140625" style="18" customWidth="1"/>
    <col min="6922" max="6922" width="11.28515625" style="18" customWidth="1"/>
    <col min="6923" max="6923" width="8.7109375" style="18" bestFit="1" customWidth="1"/>
    <col min="6924" max="7168" width="9.140625" style="18"/>
    <col min="7169" max="7169" width="4.85546875" style="18" customWidth="1"/>
    <col min="7170" max="7171" width="7.140625" style="18" customWidth="1"/>
    <col min="7172" max="7172" width="52.42578125" style="18" customWidth="1"/>
    <col min="7173" max="7174" width="11.140625" style="18" customWidth="1"/>
    <col min="7175" max="7175" width="9.7109375" style="18" bestFit="1" customWidth="1"/>
    <col min="7176" max="7176" width="11.140625" style="18" customWidth="1"/>
    <col min="7177" max="7177" width="13.140625" style="18" customWidth="1"/>
    <col min="7178" max="7178" width="11.28515625" style="18" customWidth="1"/>
    <col min="7179" max="7179" width="8.7109375" style="18" bestFit="1" customWidth="1"/>
    <col min="7180" max="7424" width="9.140625" style="18"/>
    <col min="7425" max="7425" width="4.85546875" style="18" customWidth="1"/>
    <col min="7426" max="7427" width="7.140625" style="18" customWidth="1"/>
    <col min="7428" max="7428" width="52.42578125" style="18" customWidth="1"/>
    <col min="7429" max="7430" width="11.140625" style="18" customWidth="1"/>
    <col min="7431" max="7431" width="9.7109375" style="18" bestFit="1" customWidth="1"/>
    <col min="7432" max="7432" width="11.140625" style="18" customWidth="1"/>
    <col min="7433" max="7433" width="13.140625" style="18" customWidth="1"/>
    <col min="7434" max="7434" width="11.28515625" style="18" customWidth="1"/>
    <col min="7435" max="7435" width="8.7109375" style="18" bestFit="1" customWidth="1"/>
    <col min="7436" max="7680" width="9.140625" style="18"/>
    <col min="7681" max="7681" width="4.85546875" style="18" customWidth="1"/>
    <col min="7682" max="7683" width="7.140625" style="18" customWidth="1"/>
    <col min="7684" max="7684" width="52.42578125" style="18" customWidth="1"/>
    <col min="7685" max="7686" width="11.140625" style="18" customWidth="1"/>
    <col min="7687" max="7687" width="9.7109375" style="18" bestFit="1" customWidth="1"/>
    <col min="7688" max="7688" width="11.140625" style="18" customWidth="1"/>
    <col min="7689" max="7689" width="13.140625" style="18" customWidth="1"/>
    <col min="7690" max="7690" width="11.28515625" style="18" customWidth="1"/>
    <col min="7691" max="7691" width="8.7109375" style="18" bestFit="1" customWidth="1"/>
    <col min="7692" max="7936" width="9.140625" style="18"/>
    <col min="7937" max="7937" width="4.85546875" style="18" customWidth="1"/>
    <col min="7938" max="7939" width="7.140625" style="18" customWidth="1"/>
    <col min="7940" max="7940" width="52.42578125" style="18" customWidth="1"/>
    <col min="7941" max="7942" width="11.140625" style="18" customWidth="1"/>
    <col min="7943" max="7943" width="9.7109375" style="18" bestFit="1" customWidth="1"/>
    <col min="7944" max="7944" width="11.140625" style="18" customWidth="1"/>
    <col min="7945" max="7945" width="13.140625" style="18" customWidth="1"/>
    <col min="7946" max="7946" width="11.28515625" style="18" customWidth="1"/>
    <col min="7947" max="7947" width="8.7109375" style="18" bestFit="1" customWidth="1"/>
    <col min="7948" max="8192" width="9.140625" style="18"/>
    <col min="8193" max="8193" width="4.85546875" style="18" customWidth="1"/>
    <col min="8194" max="8195" width="7.140625" style="18" customWidth="1"/>
    <col min="8196" max="8196" width="52.42578125" style="18" customWidth="1"/>
    <col min="8197" max="8198" width="11.140625" style="18" customWidth="1"/>
    <col min="8199" max="8199" width="9.7109375" style="18" bestFit="1" customWidth="1"/>
    <col min="8200" max="8200" width="11.140625" style="18" customWidth="1"/>
    <col min="8201" max="8201" width="13.140625" style="18" customWidth="1"/>
    <col min="8202" max="8202" width="11.28515625" style="18" customWidth="1"/>
    <col min="8203" max="8203" width="8.7109375" style="18" bestFit="1" customWidth="1"/>
    <col min="8204" max="8448" width="9.140625" style="18"/>
    <col min="8449" max="8449" width="4.85546875" style="18" customWidth="1"/>
    <col min="8450" max="8451" width="7.140625" style="18" customWidth="1"/>
    <col min="8452" max="8452" width="52.42578125" style="18" customWidth="1"/>
    <col min="8453" max="8454" width="11.140625" style="18" customWidth="1"/>
    <col min="8455" max="8455" width="9.7109375" style="18" bestFit="1" customWidth="1"/>
    <col min="8456" max="8456" width="11.140625" style="18" customWidth="1"/>
    <col min="8457" max="8457" width="13.140625" style="18" customWidth="1"/>
    <col min="8458" max="8458" width="11.28515625" style="18" customWidth="1"/>
    <col min="8459" max="8459" width="8.7109375" style="18" bestFit="1" customWidth="1"/>
    <col min="8460" max="8704" width="9.140625" style="18"/>
    <col min="8705" max="8705" width="4.85546875" style="18" customWidth="1"/>
    <col min="8706" max="8707" width="7.140625" style="18" customWidth="1"/>
    <col min="8708" max="8708" width="52.42578125" style="18" customWidth="1"/>
    <col min="8709" max="8710" width="11.140625" style="18" customWidth="1"/>
    <col min="8711" max="8711" width="9.7109375" style="18" bestFit="1" customWidth="1"/>
    <col min="8712" max="8712" width="11.140625" style="18" customWidth="1"/>
    <col min="8713" max="8713" width="13.140625" style="18" customWidth="1"/>
    <col min="8714" max="8714" width="11.28515625" style="18" customWidth="1"/>
    <col min="8715" max="8715" width="8.7109375" style="18" bestFit="1" customWidth="1"/>
    <col min="8716" max="8960" width="9.140625" style="18"/>
    <col min="8961" max="8961" width="4.85546875" style="18" customWidth="1"/>
    <col min="8962" max="8963" width="7.140625" style="18" customWidth="1"/>
    <col min="8964" max="8964" width="52.42578125" style="18" customWidth="1"/>
    <col min="8965" max="8966" width="11.140625" style="18" customWidth="1"/>
    <col min="8967" max="8967" width="9.7109375" style="18" bestFit="1" customWidth="1"/>
    <col min="8968" max="8968" width="11.140625" style="18" customWidth="1"/>
    <col min="8969" max="8969" width="13.140625" style="18" customWidth="1"/>
    <col min="8970" max="8970" width="11.28515625" style="18" customWidth="1"/>
    <col min="8971" max="8971" width="8.7109375" style="18" bestFit="1" customWidth="1"/>
    <col min="8972" max="9216" width="9.140625" style="18"/>
    <col min="9217" max="9217" width="4.85546875" style="18" customWidth="1"/>
    <col min="9218" max="9219" width="7.140625" style="18" customWidth="1"/>
    <col min="9220" max="9220" width="52.42578125" style="18" customWidth="1"/>
    <col min="9221" max="9222" width="11.140625" style="18" customWidth="1"/>
    <col min="9223" max="9223" width="9.7109375" style="18" bestFit="1" customWidth="1"/>
    <col min="9224" max="9224" width="11.140625" style="18" customWidth="1"/>
    <col min="9225" max="9225" width="13.140625" style="18" customWidth="1"/>
    <col min="9226" max="9226" width="11.28515625" style="18" customWidth="1"/>
    <col min="9227" max="9227" width="8.7109375" style="18" bestFit="1" customWidth="1"/>
    <col min="9228" max="9472" width="9.140625" style="18"/>
    <col min="9473" max="9473" width="4.85546875" style="18" customWidth="1"/>
    <col min="9474" max="9475" width="7.140625" style="18" customWidth="1"/>
    <col min="9476" max="9476" width="52.42578125" style="18" customWidth="1"/>
    <col min="9477" max="9478" width="11.140625" style="18" customWidth="1"/>
    <col min="9479" max="9479" width="9.7109375" style="18" bestFit="1" customWidth="1"/>
    <col min="9480" max="9480" width="11.140625" style="18" customWidth="1"/>
    <col min="9481" max="9481" width="13.140625" style="18" customWidth="1"/>
    <col min="9482" max="9482" width="11.28515625" style="18" customWidth="1"/>
    <col min="9483" max="9483" width="8.7109375" style="18" bestFit="1" customWidth="1"/>
    <col min="9484" max="9728" width="9.140625" style="18"/>
    <col min="9729" max="9729" width="4.85546875" style="18" customWidth="1"/>
    <col min="9730" max="9731" width="7.140625" style="18" customWidth="1"/>
    <col min="9732" max="9732" width="52.42578125" style="18" customWidth="1"/>
    <col min="9733" max="9734" width="11.140625" style="18" customWidth="1"/>
    <col min="9735" max="9735" width="9.7109375" style="18" bestFit="1" customWidth="1"/>
    <col min="9736" max="9736" width="11.140625" style="18" customWidth="1"/>
    <col min="9737" max="9737" width="13.140625" style="18" customWidth="1"/>
    <col min="9738" max="9738" width="11.28515625" style="18" customWidth="1"/>
    <col min="9739" max="9739" width="8.7109375" style="18" bestFit="1" customWidth="1"/>
    <col min="9740" max="9984" width="9.140625" style="18"/>
    <col min="9985" max="9985" width="4.85546875" style="18" customWidth="1"/>
    <col min="9986" max="9987" width="7.140625" style="18" customWidth="1"/>
    <col min="9988" max="9988" width="52.42578125" style="18" customWidth="1"/>
    <col min="9989" max="9990" width="11.140625" style="18" customWidth="1"/>
    <col min="9991" max="9991" width="9.7109375" style="18" bestFit="1" customWidth="1"/>
    <col min="9992" max="9992" width="11.140625" style="18" customWidth="1"/>
    <col min="9993" max="9993" width="13.140625" style="18" customWidth="1"/>
    <col min="9994" max="9994" width="11.28515625" style="18" customWidth="1"/>
    <col min="9995" max="9995" width="8.7109375" style="18" bestFit="1" customWidth="1"/>
    <col min="9996" max="10240" width="9.140625" style="18"/>
    <col min="10241" max="10241" width="4.85546875" style="18" customWidth="1"/>
    <col min="10242" max="10243" width="7.140625" style="18" customWidth="1"/>
    <col min="10244" max="10244" width="52.42578125" style="18" customWidth="1"/>
    <col min="10245" max="10246" width="11.140625" style="18" customWidth="1"/>
    <col min="10247" max="10247" width="9.7109375" style="18" bestFit="1" customWidth="1"/>
    <col min="10248" max="10248" width="11.140625" style="18" customWidth="1"/>
    <col min="10249" max="10249" width="13.140625" style="18" customWidth="1"/>
    <col min="10250" max="10250" width="11.28515625" style="18" customWidth="1"/>
    <col min="10251" max="10251" width="8.7109375" style="18" bestFit="1" customWidth="1"/>
    <col min="10252" max="10496" width="9.140625" style="18"/>
    <col min="10497" max="10497" width="4.85546875" style="18" customWidth="1"/>
    <col min="10498" max="10499" width="7.140625" style="18" customWidth="1"/>
    <col min="10500" max="10500" width="52.42578125" style="18" customWidth="1"/>
    <col min="10501" max="10502" width="11.140625" style="18" customWidth="1"/>
    <col min="10503" max="10503" width="9.7109375" style="18" bestFit="1" customWidth="1"/>
    <col min="10504" max="10504" width="11.140625" style="18" customWidth="1"/>
    <col min="10505" max="10505" width="13.140625" style="18" customWidth="1"/>
    <col min="10506" max="10506" width="11.28515625" style="18" customWidth="1"/>
    <col min="10507" max="10507" width="8.7109375" style="18" bestFit="1" customWidth="1"/>
    <col min="10508" max="10752" width="9.140625" style="18"/>
    <col min="10753" max="10753" width="4.85546875" style="18" customWidth="1"/>
    <col min="10754" max="10755" width="7.140625" style="18" customWidth="1"/>
    <col min="10756" max="10756" width="52.42578125" style="18" customWidth="1"/>
    <col min="10757" max="10758" width="11.140625" style="18" customWidth="1"/>
    <col min="10759" max="10759" width="9.7109375" style="18" bestFit="1" customWidth="1"/>
    <col min="10760" max="10760" width="11.140625" style="18" customWidth="1"/>
    <col min="10761" max="10761" width="13.140625" style="18" customWidth="1"/>
    <col min="10762" max="10762" width="11.28515625" style="18" customWidth="1"/>
    <col min="10763" max="10763" width="8.7109375" style="18" bestFit="1" customWidth="1"/>
    <col min="10764" max="11008" width="9.140625" style="18"/>
    <col min="11009" max="11009" width="4.85546875" style="18" customWidth="1"/>
    <col min="11010" max="11011" width="7.140625" style="18" customWidth="1"/>
    <col min="11012" max="11012" width="52.42578125" style="18" customWidth="1"/>
    <col min="11013" max="11014" width="11.140625" style="18" customWidth="1"/>
    <col min="11015" max="11015" width="9.7109375" style="18" bestFit="1" customWidth="1"/>
    <col min="11016" max="11016" width="11.140625" style="18" customWidth="1"/>
    <col min="11017" max="11017" width="13.140625" style="18" customWidth="1"/>
    <col min="11018" max="11018" width="11.28515625" style="18" customWidth="1"/>
    <col min="11019" max="11019" width="8.7109375" style="18" bestFit="1" customWidth="1"/>
    <col min="11020" max="11264" width="9.140625" style="18"/>
    <col min="11265" max="11265" width="4.85546875" style="18" customWidth="1"/>
    <col min="11266" max="11267" width="7.140625" style="18" customWidth="1"/>
    <col min="11268" max="11268" width="52.42578125" style="18" customWidth="1"/>
    <col min="11269" max="11270" width="11.140625" style="18" customWidth="1"/>
    <col min="11271" max="11271" width="9.7109375" style="18" bestFit="1" customWidth="1"/>
    <col min="11272" max="11272" width="11.140625" style="18" customWidth="1"/>
    <col min="11273" max="11273" width="13.140625" style="18" customWidth="1"/>
    <col min="11274" max="11274" width="11.28515625" style="18" customWidth="1"/>
    <col min="11275" max="11275" width="8.7109375" style="18" bestFit="1" customWidth="1"/>
    <col min="11276" max="11520" width="9.140625" style="18"/>
    <col min="11521" max="11521" width="4.85546875" style="18" customWidth="1"/>
    <col min="11522" max="11523" width="7.140625" style="18" customWidth="1"/>
    <col min="11524" max="11524" width="52.42578125" style="18" customWidth="1"/>
    <col min="11525" max="11526" width="11.140625" style="18" customWidth="1"/>
    <col min="11527" max="11527" width="9.7109375" style="18" bestFit="1" customWidth="1"/>
    <col min="11528" max="11528" width="11.140625" style="18" customWidth="1"/>
    <col min="11529" max="11529" width="13.140625" style="18" customWidth="1"/>
    <col min="11530" max="11530" width="11.28515625" style="18" customWidth="1"/>
    <col min="11531" max="11531" width="8.7109375" style="18" bestFit="1" customWidth="1"/>
    <col min="11532" max="11776" width="9.140625" style="18"/>
    <col min="11777" max="11777" width="4.85546875" style="18" customWidth="1"/>
    <col min="11778" max="11779" width="7.140625" style="18" customWidth="1"/>
    <col min="11780" max="11780" width="52.42578125" style="18" customWidth="1"/>
    <col min="11781" max="11782" width="11.140625" style="18" customWidth="1"/>
    <col min="11783" max="11783" width="9.7109375" style="18" bestFit="1" customWidth="1"/>
    <col min="11784" max="11784" width="11.140625" style="18" customWidth="1"/>
    <col min="11785" max="11785" width="13.140625" style="18" customWidth="1"/>
    <col min="11786" max="11786" width="11.28515625" style="18" customWidth="1"/>
    <col min="11787" max="11787" width="8.7109375" style="18" bestFit="1" customWidth="1"/>
    <col min="11788" max="12032" width="9.140625" style="18"/>
    <col min="12033" max="12033" width="4.85546875" style="18" customWidth="1"/>
    <col min="12034" max="12035" width="7.140625" style="18" customWidth="1"/>
    <col min="12036" max="12036" width="52.42578125" style="18" customWidth="1"/>
    <col min="12037" max="12038" width="11.140625" style="18" customWidth="1"/>
    <col min="12039" max="12039" width="9.7109375" style="18" bestFit="1" customWidth="1"/>
    <col min="12040" max="12040" width="11.140625" style="18" customWidth="1"/>
    <col min="12041" max="12041" width="13.140625" style="18" customWidth="1"/>
    <col min="12042" max="12042" width="11.28515625" style="18" customWidth="1"/>
    <col min="12043" max="12043" width="8.7109375" style="18" bestFit="1" customWidth="1"/>
    <col min="12044" max="12288" width="9.140625" style="18"/>
    <col min="12289" max="12289" width="4.85546875" style="18" customWidth="1"/>
    <col min="12290" max="12291" width="7.140625" style="18" customWidth="1"/>
    <col min="12292" max="12292" width="52.42578125" style="18" customWidth="1"/>
    <col min="12293" max="12294" width="11.140625" style="18" customWidth="1"/>
    <col min="12295" max="12295" width="9.7109375" style="18" bestFit="1" customWidth="1"/>
    <col min="12296" max="12296" width="11.140625" style="18" customWidth="1"/>
    <col min="12297" max="12297" width="13.140625" style="18" customWidth="1"/>
    <col min="12298" max="12298" width="11.28515625" style="18" customWidth="1"/>
    <col min="12299" max="12299" width="8.7109375" style="18" bestFit="1" customWidth="1"/>
    <col min="12300" max="12544" width="9.140625" style="18"/>
    <col min="12545" max="12545" width="4.85546875" style="18" customWidth="1"/>
    <col min="12546" max="12547" width="7.140625" style="18" customWidth="1"/>
    <col min="12548" max="12548" width="52.42578125" style="18" customWidth="1"/>
    <col min="12549" max="12550" width="11.140625" style="18" customWidth="1"/>
    <col min="12551" max="12551" width="9.7109375" style="18" bestFit="1" customWidth="1"/>
    <col min="12552" max="12552" width="11.140625" style="18" customWidth="1"/>
    <col min="12553" max="12553" width="13.140625" style="18" customWidth="1"/>
    <col min="12554" max="12554" width="11.28515625" style="18" customWidth="1"/>
    <col min="12555" max="12555" width="8.7109375" style="18" bestFit="1" customWidth="1"/>
    <col min="12556" max="12800" width="9.140625" style="18"/>
    <col min="12801" max="12801" width="4.85546875" style="18" customWidth="1"/>
    <col min="12802" max="12803" width="7.140625" style="18" customWidth="1"/>
    <col min="12804" max="12804" width="52.42578125" style="18" customWidth="1"/>
    <col min="12805" max="12806" width="11.140625" style="18" customWidth="1"/>
    <col min="12807" max="12807" width="9.7109375" style="18" bestFit="1" customWidth="1"/>
    <col min="12808" max="12808" width="11.140625" style="18" customWidth="1"/>
    <col min="12809" max="12809" width="13.140625" style="18" customWidth="1"/>
    <col min="12810" max="12810" width="11.28515625" style="18" customWidth="1"/>
    <col min="12811" max="12811" width="8.7109375" style="18" bestFit="1" customWidth="1"/>
    <col min="12812" max="13056" width="9.140625" style="18"/>
    <col min="13057" max="13057" width="4.85546875" style="18" customWidth="1"/>
    <col min="13058" max="13059" width="7.140625" style="18" customWidth="1"/>
    <col min="13060" max="13060" width="52.42578125" style="18" customWidth="1"/>
    <col min="13061" max="13062" width="11.140625" style="18" customWidth="1"/>
    <col min="13063" max="13063" width="9.7109375" style="18" bestFit="1" customWidth="1"/>
    <col min="13064" max="13064" width="11.140625" style="18" customWidth="1"/>
    <col min="13065" max="13065" width="13.140625" style="18" customWidth="1"/>
    <col min="13066" max="13066" width="11.28515625" style="18" customWidth="1"/>
    <col min="13067" max="13067" width="8.7109375" style="18" bestFit="1" customWidth="1"/>
    <col min="13068" max="13312" width="9.140625" style="18"/>
    <col min="13313" max="13313" width="4.85546875" style="18" customWidth="1"/>
    <col min="13314" max="13315" width="7.140625" style="18" customWidth="1"/>
    <col min="13316" max="13316" width="52.42578125" style="18" customWidth="1"/>
    <col min="13317" max="13318" width="11.140625" style="18" customWidth="1"/>
    <col min="13319" max="13319" width="9.7109375" style="18" bestFit="1" customWidth="1"/>
    <col min="13320" max="13320" width="11.140625" style="18" customWidth="1"/>
    <col min="13321" max="13321" width="13.140625" style="18" customWidth="1"/>
    <col min="13322" max="13322" width="11.28515625" style="18" customWidth="1"/>
    <col min="13323" max="13323" width="8.7109375" style="18" bestFit="1" customWidth="1"/>
    <col min="13324" max="13568" width="9.140625" style="18"/>
    <col min="13569" max="13569" width="4.85546875" style="18" customWidth="1"/>
    <col min="13570" max="13571" width="7.140625" style="18" customWidth="1"/>
    <col min="13572" max="13572" width="52.42578125" style="18" customWidth="1"/>
    <col min="13573" max="13574" width="11.140625" style="18" customWidth="1"/>
    <col min="13575" max="13575" width="9.7109375" style="18" bestFit="1" customWidth="1"/>
    <col min="13576" max="13576" width="11.140625" style="18" customWidth="1"/>
    <col min="13577" max="13577" width="13.140625" style="18" customWidth="1"/>
    <col min="13578" max="13578" width="11.28515625" style="18" customWidth="1"/>
    <col min="13579" max="13579" width="8.7109375" style="18" bestFit="1" customWidth="1"/>
    <col min="13580" max="13824" width="9.140625" style="18"/>
    <col min="13825" max="13825" width="4.85546875" style="18" customWidth="1"/>
    <col min="13826" max="13827" width="7.140625" style="18" customWidth="1"/>
    <col min="13828" max="13828" width="52.42578125" style="18" customWidth="1"/>
    <col min="13829" max="13830" width="11.140625" style="18" customWidth="1"/>
    <col min="13831" max="13831" width="9.7109375" style="18" bestFit="1" customWidth="1"/>
    <col min="13832" max="13832" width="11.140625" style="18" customWidth="1"/>
    <col min="13833" max="13833" width="13.140625" style="18" customWidth="1"/>
    <col min="13834" max="13834" width="11.28515625" style="18" customWidth="1"/>
    <col min="13835" max="13835" width="8.7109375" style="18" bestFit="1" customWidth="1"/>
    <col min="13836" max="14080" width="9.140625" style="18"/>
    <col min="14081" max="14081" width="4.85546875" style="18" customWidth="1"/>
    <col min="14082" max="14083" width="7.140625" style="18" customWidth="1"/>
    <col min="14084" max="14084" width="52.42578125" style="18" customWidth="1"/>
    <col min="14085" max="14086" width="11.140625" style="18" customWidth="1"/>
    <col min="14087" max="14087" width="9.7109375" style="18" bestFit="1" customWidth="1"/>
    <col min="14088" max="14088" width="11.140625" style="18" customWidth="1"/>
    <col min="14089" max="14089" width="13.140625" style="18" customWidth="1"/>
    <col min="14090" max="14090" width="11.28515625" style="18" customWidth="1"/>
    <col min="14091" max="14091" width="8.7109375" style="18" bestFit="1" customWidth="1"/>
    <col min="14092" max="14336" width="9.140625" style="18"/>
    <col min="14337" max="14337" width="4.85546875" style="18" customWidth="1"/>
    <col min="14338" max="14339" width="7.140625" style="18" customWidth="1"/>
    <col min="14340" max="14340" width="52.42578125" style="18" customWidth="1"/>
    <col min="14341" max="14342" width="11.140625" style="18" customWidth="1"/>
    <col min="14343" max="14343" width="9.7109375" style="18" bestFit="1" customWidth="1"/>
    <col min="14344" max="14344" width="11.140625" style="18" customWidth="1"/>
    <col min="14345" max="14345" width="13.140625" style="18" customWidth="1"/>
    <col min="14346" max="14346" width="11.28515625" style="18" customWidth="1"/>
    <col min="14347" max="14347" width="8.7109375" style="18" bestFit="1" customWidth="1"/>
    <col min="14348" max="14592" width="9.140625" style="18"/>
    <col min="14593" max="14593" width="4.85546875" style="18" customWidth="1"/>
    <col min="14594" max="14595" width="7.140625" style="18" customWidth="1"/>
    <col min="14596" max="14596" width="52.42578125" style="18" customWidth="1"/>
    <col min="14597" max="14598" width="11.140625" style="18" customWidth="1"/>
    <col min="14599" max="14599" width="9.7109375" style="18" bestFit="1" customWidth="1"/>
    <col min="14600" max="14600" width="11.140625" style="18" customWidth="1"/>
    <col min="14601" max="14601" width="13.140625" style="18" customWidth="1"/>
    <col min="14602" max="14602" width="11.28515625" style="18" customWidth="1"/>
    <col min="14603" max="14603" width="8.7109375" style="18" bestFit="1" customWidth="1"/>
    <col min="14604" max="14848" width="9.140625" style="18"/>
    <col min="14849" max="14849" width="4.85546875" style="18" customWidth="1"/>
    <col min="14850" max="14851" width="7.140625" style="18" customWidth="1"/>
    <col min="14852" max="14852" width="52.42578125" style="18" customWidth="1"/>
    <col min="14853" max="14854" width="11.140625" style="18" customWidth="1"/>
    <col min="14855" max="14855" width="9.7109375" style="18" bestFit="1" customWidth="1"/>
    <col min="14856" max="14856" width="11.140625" style="18" customWidth="1"/>
    <col min="14857" max="14857" width="13.140625" style="18" customWidth="1"/>
    <col min="14858" max="14858" width="11.28515625" style="18" customWidth="1"/>
    <col min="14859" max="14859" width="8.7109375" style="18" bestFit="1" customWidth="1"/>
    <col min="14860" max="15104" width="9.140625" style="18"/>
    <col min="15105" max="15105" width="4.85546875" style="18" customWidth="1"/>
    <col min="15106" max="15107" width="7.140625" style="18" customWidth="1"/>
    <col min="15108" max="15108" width="52.42578125" style="18" customWidth="1"/>
    <col min="15109" max="15110" width="11.140625" style="18" customWidth="1"/>
    <col min="15111" max="15111" width="9.7109375" style="18" bestFit="1" customWidth="1"/>
    <col min="15112" max="15112" width="11.140625" style="18" customWidth="1"/>
    <col min="15113" max="15113" width="13.140625" style="18" customWidth="1"/>
    <col min="15114" max="15114" width="11.28515625" style="18" customWidth="1"/>
    <col min="15115" max="15115" width="8.7109375" style="18" bestFit="1" customWidth="1"/>
    <col min="15116" max="15360" width="9.140625" style="18"/>
    <col min="15361" max="15361" width="4.85546875" style="18" customWidth="1"/>
    <col min="15362" max="15363" width="7.140625" style="18" customWidth="1"/>
    <col min="15364" max="15364" width="52.42578125" style="18" customWidth="1"/>
    <col min="15365" max="15366" width="11.140625" style="18" customWidth="1"/>
    <col min="15367" max="15367" width="9.7109375" style="18" bestFit="1" customWidth="1"/>
    <col min="15368" max="15368" width="11.140625" style="18" customWidth="1"/>
    <col min="15369" max="15369" width="13.140625" style="18" customWidth="1"/>
    <col min="15370" max="15370" width="11.28515625" style="18" customWidth="1"/>
    <col min="15371" max="15371" width="8.7109375" style="18" bestFit="1" customWidth="1"/>
    <col min="15372" max="15616" width="9.140625" style="18"/>
    <col min="15617" max="15617" width="4.85546875" style="18" customWidth="1"/>
    <col min="15618" max="15619" width="7.140625" style="18" customWidth="1"/>
    <col min="15620" max="15620" width="52.42578125" style="18" customWidth="1"/>
    <col min="15621" max="15622" width="11.140625" style="18" customWidth="1"/>
    <col min="15623" max="15623" width="9.7109375" style="18" bestFit="1" customWidth="1"/>
    <col min="15624" max="15624" width="11.140625" style="18" customWidth="1"/>
    <col min="15625" max="15625" width="13.140625" style="18" customWidth="1"/>
    <col min="15626" max="15626" width="11.28515625" style="18" customWidth="1"/>
    <col min="15627" max="15627" width="8.7109375" style="18" bestFit="1" customWidth="1"/>
    <col min="15628" max="15872" width="9.140625" style="18"/>
    <col min="15873" max="15873" width="4.85546875" style="18" customWidth="1"/>
    <col min="15874" max="15875" width="7.140625" style="18" customWidth="1"/>
    <col min="15876" max="15876" width="52.42578125" style="18" customWidth="1"/>
    <col min="15877" max="15878" width="11.140625" style="18" customWidth="1"/>
    <col min="15879" max="15879" width="9.7109375" style="18" bestFit="1" customWidth="1"/>
    <col min="15880" max="15880" width="11.140625" style="18" customWidth="1"/>
    <col min="15881" max="15881" width="13.140625" style="18" customWidth="1"/>
    <col min="15882" max="15882" width="11.28515625" style="18" customWidth="1"/>
    <col min="15883" max="15883" width="8.7109375" style="18" bestFit="1" customWidth="1"/>
    <col min="15884" max="16128" width="9.140625" style="18"/>
    <col min="16129" max="16129" width="4.85546875" style="18" customWidth="1"/>
    <col min="16130" max="16131" width="7.140625" style="18" customWidth="1"/>
    <col min="16132" max="16132" width="52.42578125" style="18" customWidth="1"/>
    <col min="16133" max="16134" width="11.140625" style="18" customWidth="1"/>
    <col min="16135" max="16135" width="9.7109375" style="18" bestFit="1" customWidth="1"/>
    <col min="16136" max="16136" width="11.140625" style="18" customWidth="1"/>
    <col min="16137" max="16137" width="13.140625" style="18" customWidth="1"/>
    <col min="16138" max="16138" width="11.28515625" style="18" customWidth="1"/>
    <col min="16139" max="16139" width="8.7109375" style="18" bestFit="1" customWidth="1"/>
    <col min="16140" max="16384" width="9.140625" style="18"/>
  </cols>
  <sheetData>
    <row r="1" spans="1:11" ht="12.75" customHeight="1">
      <c r="A1" s="617" t="s">
        <v>818</v>
      </c>
      <c r="B1" s="617"/>
      <c r="C1" s="617"/>
      <c r="D1" s="617"/>
      <c r="E1" s="617"/>
      <c r="F1" s="617"/>
      <c r="G1" s="617"/>
      <c r="H1" s="617"/>
      <c r="I1" s="309" t="s">
        <v>360</v>
      </c>
      <c r="J1" s="309"/>
    </row>
    <row r="2" spans="1:11">
      <c r="A2" s="617"/>
      <c r="B2" s="617"/>
      <c r="C2" s="617"/>
      <c r="D2" s="617"/>
      <c r="E2" s="617"/>
      <c r="F2" s="617"/>
      <c r="G2" s="617"/>
      <c r="H2" s="617"/>
      <c r="I2" s="309" t="s">
        <v>221</v>
      </c>
      <c r="J2" s="309"/>
    </row>
    <row r="3" spans="1:11">
      <c r="A3" s="617"/>
      <c r="B3" s="617"/>
      <c r="C3" s="617"/>
      <c r="D3" s="617"/>
      <c r="E3" s="617"/>
      <c r="F3" s="617"/>
      <c r="G3" s="617"/>
      <c r="H3" s="617"/>
      <c r="I3" s="309" t="s">
        <v>736</v>
      </c>
      <c r="J3" s="309"/>
    </row>
    <row r="4" spans="1:11" ht="13.5" customHeight="1">
      <c r="A4" s="617"/>
      <c r="B4" s="617"/>
      <c r="C4" s="617"/>
      <c r="D4" s="617"/>
      <c r="E4" s="617"/>
      <c r="F4" s="617"/>
      <c r="G4" s="617"/>
      <c r="H4" s="617"/>
      <c r="I4" s="310"/>
    </row>
    <row r="5" spans="1:11" ht="13.5" customHeight="1">
      <c r="A5" s="15"/>
      <c r="B5" s="15"/>
      <c r="C5" s="15"/>
      <c r="D5" s="15"/>
      <c r="E5" s="15"/>
      <c r="F5" s="15"/>
      <c r="G5" s="15"/>
      <c r="H5" s="15"/>
      <c r="I5" s="310"/>
    </row>
    <row r="6" spans="1:11" ht="13.5" customHeight="1">
      <c r="A6" s="22"/>
      <c r="B6" s="22"/>
      <c r="C6" s="22"/>
      <c r="D6" s="22"/>
      <c r="E6" s="22"/>
      <c r="F6" s="22"/>
      <c r="G6" s="22"/>
      <c r="H6" s="22"/>
      <c r="I6" s="311"/>
      <c r="J6" s="341"/>
    </row>
    <row r="7" spans="1:11" ht="22.5" customHeight="1">
      <c r="A7" s="618" t="s">
        <v>2</v>
      </c>
      <c r="B7" s="618" t="s">
        <v>3</v>
      </c>
      <c r="C7" s="618" t="s">
        <v>4</v>
      </c>
      <c r="D7" s="619" t="s">
        <v>5</v>
      </c>
      <c r="E7" s="621" t="s">
        <v>779</v>
      </c>
      <c r="F7" s="621"/>
      <c r="G7" s="621"/>
      <c r="H7" s="705" t="s">
        <v>817</v>
      </c>
      <c r="I7" s="705"/>
      <c r="J7" s="342"/>
    </row>
    <row r="8" spans="1:11" ht="12.75" customHeight="1">
      <c r="A8" s="618"/>
      <c r="B8" s="618"/>
      <c r="C8" s="618"/>
      <c r="D8" s="619"/>
      <c r="E8" s="615" t="s">
        <v>8</v>
      </c>
      <c r="F8" s="671" t="s">
        <v>325</v>
      </c>
      <c r="G8" s="615" t="s">
        <v>10</v>
      </c>
      <c r="H8" s="615" t="s">
        <v>361</v>
      </c>
      <c r="I8" s="615" t="s">
        <v>327</v>
      </c>
      <c r="J8" s="671" t="s">
        <v>328</v>
      </c>
    </row>
    <row r="9" spans="1:11" ht="19.5" customHeight="1">
      <c r="A9" s="618"/>
      <c r="B9" s="618"/>
      <c r="C9" s="618"/>
      <c r="D9" s="619"/>
      <c r="E9" s="615"/>
      <c r="F9" s="672"/>
      <c r="G9" s="615"/>
      <c r="H9" s="615"/>
      <c r="I9" s="615"/>
      <c r="J9" s="701"/>
    </row>
    <row r="10" spans="1:11" ht="12.75" customHeight="1">
      <c r="A10" s="618"/>
      <c r="B10" s="618"/>
      <c r="C10" s="618"/>
      <c r="D10" s="619"/>
      <c r="E10" s="615" t="s">
        <v>11</v>
      </c>
      <c r="F10" s="615"/>
      <c r="G10" s="615"/>
      <c r="H10" s="615"/>
      <c r="I10" s="615"/>
      <c r="J10" s="672"/>
    </row>
    <row r="11" spans="1:11" s="32" customFormat="1">
      <c r="A11" s="30">
        <v>1</v>
      </c>
      <c r="B11" s="30">
        <v>2</v>
      </c>
      <c r="C11" s="30">
        <v>3</v>
      </c>
      <c r="D11" s="30">
        <v>4</v>
      </c>
      <c r="E11" s="30">
        <v>5</v>
      </c>
      <c r="F11" s="30">
        <v>6</v>
      </c>
      <c r="G11" s="30">
        <v>7</v>
      </c>
      <c r="H11" s="30">
        <v>8</v>
      </c>
      <c r="I11" s="30">
        <v>9</v>
      </c>
      <c r="J11" s="30">
        <v>10</v>
      </c>
    </row>
    <row r="12" spans="1:11" s="343" customFormat="1" ht="13.5" customHeight="1">
      <c r="A12" s="33" t="s">
        <v>345</v>
      </c>
      <c r="B12" s="277"/>
      <c r="C12" s="277"/>
      <c r="D12" s="173" t="s">
        <v>363</v>
      </c>
      <c r="E12" s="36">
        <f t="shared" ref="E12:J12" si="0">E13</f>
        <v>308484</v>
      </c>
      <c r="F12" s="36">
        <f t="shared" si="0"/>
        <v>308484</v>
      </c>
      <c r="G12" s="36">
        <f t="shared" si="0"/>
        <v>308484</v>
      </c>
      <c r="H12" s="36">
        <f t="shared" si="0"/>
        <v>0</v>
      </c>
      <c r="I12" s="36">
        <f t="shared" si="0"/>
        <v>342760</v>
      </c>
      <c r="J12" s="36">
        <f t="shared" si="0"/>
        <v>342760</v>
      </c>
      <c r="K12" s="328"/>
    </row>
    <row r="13" spans="1:11" s="343" customFormat="1" ht="13.5" customHeight="1">
      <c r="A13" s="687"/>
      <c r="B13" s="33" t="s">
        <v>364</v>
      </c>
      <c r="C13" s="277"/>
      <c r="D13" s="174" t="s">
        <v>45</v>
      </c>
      <c r="E13" s="39">
        <f t="shared" ref="E13:J13" si="1">E14+E17</f>
        <v>308484</v>
      </c>
      <c r="F13" s="39">
        <f t="shared" si="1"/>
        <v>308484</v>
      </c>
      <c r="G13" s="39">
        <f t="shared" si="1"/>
        <v>308484</v>
      </c>
      <c r="H13" s="39">
        <f t="shared" si="1"/>
        <v>0</v>
      </c>
      <c r="I13" s="39">
        <f t="shared" si="1"/>
        <v>342760</v>
      </c>
      <c r="J13" s="39">
        <f t="shared" si="1"/>
        <v>342760</v>
      </c>
      <c r="K13" s="328"/>
    </row>
    <row r="14" spans="1:11" s="343" customFormat="1" ht="25.5">
      <c r="A14" s="688"/>
      <c r="B14" s="278"/>
      <c r="C14" s="279"/>
      <c r="D14" s="139" t="s">
        <v>365</v>
      </c>
      <c r="E14" s="43">
        <f t="shared" ref="E14:J14" si="2">E15+E16</f>
        <v>308484</v>
      </c>
      <c r="F14" s="43">
        <f t="shared" si="2"/>
        <v>308484</v>
      </c>
      <c r="G14" s="43">
        <f t="shared" si="2"/>
        <v>308484</v>
      </c>
      <c r="H14" s="43">
        <f t="shared" si="2"/>
        <v>0</v>
      </c>
      <c r="I14" s="43">
        <f t="shared" si="2"/>
        <v>342760</v>
      </c>
      <c r="J14" s="43">
        <f t="shared" si="2"/>
        <v>342760</v>
      </c>
      <c r="K14" s="328"/>
    </row>
    <row r="15" spans="1:11" s="343" customFormat="1" ht="13.5" customHeight="1">
      <c r="A15" s="688"/>
      <c r="B15" s="278"/>
      <c r="C15" s="277"/>
      <c r="D15" s="172" t="s">
        <v>230</v>
      </c>
      <c r="E15" s="45">
        <v>191743</v>
      </c>
      <c r="F15" s="45">
        <f>E15</f>
        <v>191743</v>
      </c>
      <c r="G15" s="45">
        <f>F15</f>
        <v>191743</v>
      </c>
      <c r="H15" s="45"/>
      <c r="I15" s="45">
        <f>23000+22761+2739+84660</f>
        <v>133160</v>
      </c>
      <c r="J15" s="45">
        <f>I15</f>
        <v>133160</v>
      </c>
      <c r="K15" s="328"/>
    </row>
    <row r="16" spans="1:11" s="343" customFormat="1" ht="13.5" customHeight="1">
      <c r="A16" s="689"/>
      <c r="B16" s="278"/>
      <c r="C16" s="339"/>
      <c r="D16" s="172" t="s">
        <v>226</v>
      </c>
      <c r="E16" s="65">
        <v>116741</v>
      </c>
      <c r="F16" s="45">
        <f>E16</f>
        <v>116741</v>
      </c>
      <c r="G16" s="45">
        <f>F16</f>
        <v>116741</v>
      </c>
      <c r="H16" s="45"/>
      <c r="I16" s="45">
        <v>209600</v>
      </c>
      <c r="J16" s="45">
        <f>I16</f>
        <v>209600</v>
      </c>
      <c r="K16" s="328"/>
    </row>
    <row r="17" spans="1:15" s="343" customFormat="1" ht="15">
      <c r="A17" s="338"/>
      <c r="B17" s="278"/>
      <c r="C17" s="279"/>
      <c r="D17" s="139" t="s">
        <v>366</v>
      </c>
      <c r="E17" s="43">
        <f t="shared" ref="E17:J17" si="3">E18</f>
        <v>0</v>
      </c>
      <c r="F17" s="43">
        <f t="shared" si="3"/>
        <v>0</v>
      </c>
      <c r="G17" s="43">
        <f t="shared" si="3"/>
        <v>0</v>
      </c>
      <c r="H17" s="43">
        <f t="shared" si="3"/>
        <v>0</v>
      </c>
      <c r="I17" s="43">
        <f t="shared" si="3"/>
        <v>0</v>
      </c>
      <c r="J17" s="43">
        <f t="shared" si="3"/>
        <v>0</v>
      </c>
      <c r="K17" s="328"/>
    </row>
    <row r="18" spans="1:15" s="343" customFormat="1" ht="13.5" customHeight="1">
      <c r="A18" s="338"/>
      <c r="B18" s="278"/>
      <c r="C18" s="339"/>
      <c r="D18" s="172" t="s">
        <v>226</v>
      </c>
      <c r="E18" s="65">
        <v>0</v>
      </c>
      <c r="F18" s="65"/>
      <c r="G18" s="45">
        <v>0</v>
      </c>
      <c r="H18" s="65">
        <v>0</v>
      </c>
      <c r="I18" s="65">
        <v>0</v>
      </c>
      <c r="J18" s="65">
        <v>0</v>
      </c>
      <c r="K18" s="328"/>
    </row>
    <row r="19" spans="1:15">
      <c r="A19" s="33">
        <v>853</v>
      </c>
      <c r="B19" s="34"/>
      <c r="C19" s="277"/>
      <c r="D19" s="173" t="s">
        <v>285</v>
      </c>
      <c r="E19" s="36">
        <f>E20</f>
        <v>2678</v>
      </c>
      <c r="F19" s="36">
        <f t="shared" ref="F19:I21" si="4">F20</f>
        <v>2678</v>
      </c>
      <c r="G19" s="36">
        <f t="shared" si="4"/>
        <v>2678</v>
      </c>
      <c r="H19" s="36">
        <f t="shared" si="4"/>
        <v>0</v>
      </c>
      <c r="I19" s="36">
        <f t="shared" si="4"/>
        <v>7821.34</v>
      </c>
      <c r="J19" s="36">
        <f>J20</f>
        <v>7821.34</v>
      </c>
      <c r="K19" s="28"/>
      <c r="O19" s="28"/>
    </row>
    <row r="20" spans="1:15">
      <c r="A20" s="702"/>
      <c r="B20" s="37">
        <v>85311</v>
      </c>
      <c r="C20" s="277"/>
      <c r="D20" s="174" t="s">
        <v>286</v>
      </c>
      <c r="E20" s="39">
        <f>E21</f>
        <v>2678</v>
      </c>
      <c r="F20" s="39">
        <f t="shared" si="4"/>
        <v>2678</v>
      </c>
      <c r="G20" s="39">
        <f t="shared" si="4"/>
        <v>2678</v>
      </c>
      <c r="H20" s="39">
        <f t="shared" si="4"/>
        <v>0</v>
      </c>
      <c r="I20" s="39">
        <f t="shared" si="4"/>
        <v>7821.34</v>
      </c>
      <c r="J20" s="39">
        <f>J21</f>
        <v>7821.34</v>
      </c>
    </row>
    <row r="21" spans="1:15">
      <c r="A21" s="703"/>
      <c r="B21" s="631"/>
      <c r="C21" s="279"/>
      <c r="D21" s="139" t="s">
        <v>231</v>
      </c>
      <c r="E21" s="43">
        <f>E22</f>
        <v>2678</v>
      </c>
      <c r="F21" s="43">
        <f t="shared" si="4"/>
        <v>2678</v>
      </c>
      <c r="G21" s="43">
        <f t="shared" si="4"/>
        <v>2678</v>
      </c>
      <c r="H21" s="43">
        <f t="shared" si="4"/>
        <v>0</v>
      </c>
      <c r="I21" s="43">
        <f t="shared" si="4"/>
        <v>7821.34</v>
      </c>
      <c r="J21" s="43">
        <f>J22</f>
        <v>7821.34</v>
      </c>
    </row>
    <row r="22" spans="1:15">
      <c r="A22" s="704"/>
      <c r="B22" s="631"/>
      <c r="C22" s="344"/>
      <c r="D22" s="345" t="s">
        <v>268</v>
      </c>
      <c r="E22" s="45">
        <v>2678</v>
      </c>
      <c r="F22" s="45">
        <f>E22</f>
        <v>2678</v>
      </c>
      <c r="G22" s="45">
        <f>F22</f>
        <v>2678</v>
      </c>
      <c r="H22" s="45"/>
      <c r="I22" s="45">
        <v>7821.34</v>
      </c>
      <c r="J22" s="45">
        <f>I22</f>
        <v>7821.34</v>
      </c>
      <c r="M22" s="28"/>
    </row>
    <row r="23" spans="1:15">
      <c r="A23" s="698" t="s">
        <v>203</v>
      </c>
      <c r="B23" s="699"/>
      <c r="C23" s="700"/>
      <c r="D23" s="312"/>
      <c r="E23" s="313">
        <f>E12+E19</f>
        <v>311162</v>
      </c>
      <c r="F23" s="313">
        <f t="shared" ref="F23:J23" si="5">F12+F19</f>
        <v>311162</v>
      </c>
      <c r="G23" s="313">
        <f t="shared" si="5"/>
        <v>311162</v>
      </c>
      <c r="H23" s="313">
        <f t="shared" si="5"/>
        <v>0</v>
      </c>
      <c r="I23" s="313">
        <f t="shared" si="5"/>
        <v>350581.34</v>
      </c>
      <c r="J23" s="313">
        <f t="shared" si="5"/>
        <v>350581.34</v>
      </c>
    </row>
    <row r="25" spans="1:15">
      <c r="H25" s="346"/>
      <c r="I25" s="28"/>
      <c r="N25" s="28"/>
    </row>
    <row r="26" spans="1:15">
      <c r="H26" s="347"/>
      <c r="I26" s="28"/>
      <c r="K26" s="28"/>
    </row>
    <row r="27" spans="1:15">
      <c r="I27" s="28"/>
    </row>
    <row r="28" spans="1:15">
      <c r="D28" s="348"/>
      <c r="G28" s="326"/>
      <c r="H28" s="349"/>
    </row>
    <row r="29" spans="1:15">
      <c r="G29" s="326"/>
      <c r="H29" s="349"/>
    </row>
    <row r="30" spans="1:15">
      <c r="G30" s="326"/>
      <c r="H30" s="349"/>
    </row>
    <row r="31" spans="1:15">
      <c r="G31" s="326"/>
      <c r="H31" s="349"/>
      <c r="I31" s="28"/>
    </row>
    <row r="32" spans="1:15">
      <c r="G32" s="326"/>
      <c r="H32" s="349"/>
    </row>
    <row r="33" spans="7:9">
      <c r="G33" s="326"/>
    </row>
    <row r="34" spans="7:9">
      <c r="I34" s="28"/>
    </row>
  </sheetData>
  <mergeCells count="18">
    <mergeCell ref="A1:H4"/>
    <mergeCell ref="A7:A10"/>
    <mergeCell ref="B7:B10"/>
    <mergeCell ref="C7:C10"/>
    <mergeCell ref="D7:D10"/>
    <mergeCell ref="E7:G7"/>
    <mergeCell ref="H7:I7"/>
    <mergeCell ref="E8:E9"/>
    <mergeCell ref="F8:F9"/>
    <mergeCell ref="G8:G9"/>
    <mergeCell ref="A23:C23"/>
    <mergeCell ref="H8:H9"/>
    <mergeCell ref="I8:I9"/>
    <mergeCell ref="J8:J10"/>
    <mergeCell ref="E10:I10"/>
    <mergeCell ref="A13:A16"/>
    <mergeCell ref="A20:A22"/>
    <mergeCell ref="B21:B22"/>
  </mergeCells>
  <printOptions horizontalCentered="1"/>
  <pageMargins left="0" right="0" top="0" bottom="0.35433070866141736" header="0" footer="0.23622047244094491"/>
  <pageSetup paperSize="9" scale="85" fitToWidth="4" fitToHeight="4" orientation="landscape" r:id="rId1"/>
  <headerFooter alignWithMargins="0">
    <oddFooter>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9BB79-09BA-4AA6-9146-3AE23039824A}">
  <dimension ref="A1:H31"/>
  <sheetViews>
    <sheetView tabSelected="1" zoomScaleNormal="100" zoomScaleSheetLayoutView="100" workbookViewId="0">
      <selection sqref="A1:F31"/>
    </sheetView>
  </sheetViews>
  <sheetFormatPr defaultColWidth="9.140625" defaultRowHeight="12.75"/>
  <cols>
    <col min="1" max="1" width="6.7109375" style="314" customWidth="1"/>
    <col min="2" max="2" width="12.85546875" style="315" bestFit="1" customWidth="1"/>
    <col min="3" max="3" width="84" style="316" customWidth="1"/>
    <col min="4" max="4" width="21.85546875" style="316" bestFit="1" customWidth="1"/>
    <col min="5" max="5" width="16.85546875" style="317" bestFit="1" customWidth="1"/>
    <col min="6" max="6" width="16" style="325" customWidth="1"/>
    <col min="7" max="7" width="9.140625" style="319"/>
    <col min="8" max="8" width="22.7109375" style="319" customWidth="1"/>
    <col min="9" max="9" width="10.140625" style="319" bestFit="1" customWidth="1"/>
    <col min="10" max="10" width="11.7109375" style="319" bestFit="1" customWidth="1"/>
    <col min="11" max="255" width="9.140625" style="319"/>
    <col min="256" max="256" width="4.7109375" style="319" customWidth="1"/>
    <col min="257" max="257" width="12.85546875" style="319" bestFit="1" customWidth="1"/>
    <col min="258" max="258" width="84" style="319" customWidth="1"/>
    <col min="259" max="259" width="22.140625" style="319" customWidth="1"/>
    <col min="260" max="260" width="16.85546875" style="319" bestFit="1" customWidth="1"/>
    <col min="261" max="261" width="16" style="319" customWidth="1"/>
    <col min="262" max="263" width="9.140625" style="319"/>
    <col min="264" max="264" width="10.140625" style="319" bestFit="1" customWidth="1"/>
    <col min="265" max="511" width="9.140625" style="319"/>
    <col min="512" max="512" width="4.7109375" style="319" customWidth="1"/>
    <col min="513" max="513" width="12.85546875" style="319" bestFit="1" customWidth="1"/>
    <col min="514" max="514" width="84" style="319" customWidth="1"/>
    <col min="515" max="515" width="22.140625" style="319" customWidth="1"/>
    <col min="516" max="516" width="16.85546875" style="319" bestFit="1" customWidth="1"/>
    <col min="517" max="517" width="16" style="319" customWidth="1"/>
    <col min="518" max="519" width="9.140625" style="319"/>
    <col min="520" max="520" width="10.140625" style="319" bestFit="1" customWidth="1"/>
    <col min="521" max="767" width="9.140625" style="319"/>
    <col min="768" max="768" width="4.7109375" style="319" customWidth="1"/>
    <col min="769" max="769" width="12.85546875" style="319" bestFit="1" customWidth="1"/>
    <col min="770" max="770" width="84" style="319" customWidth="1"/>
    <col min="771" max="771" width="22.140625" style="319" customWidth="1"/>
    <col min="772" max="772" width="16.85546875" style="319" bestFit="1" customWidth="1"/>
    <col min="773" max="773" width="16" style="319" customWidth="1"/>
    <col min="774" max="775" width="9.140625" style="319"/>
    <col min="776" max="776" width="10.140625" style="319" bestFit="1" customWidth="1"/>
    <col min="777" max="1023" width="9.140625" style="319"/>
    <col min="1024" max="1024" width="4.7109375" style="319" customWidth="1"/>
    <col min="1025" max="1025" width="12.85546875" style="319" bestFit="1" customWidth="1"/>
    <col min="1026" max="1026" width="84" style="319" customWidth="1"/>
    <col min="1027" max="1027" width="22.140625" style="319" customWidth="1"/>
    <col min="1028" max="1028" width="16.85546875" style="319" bestFit="1" customWidth="1"/>
    <col min="1029" max="1029" width="16" style="319" customWidth="1"/>
    <col min="1030" max="1031" width="9.140625" style="319"/>
    <col min="1032" max="1032" width="10.140625" style="319" bestFit="1" customWidth="1"/>
    <col min="1033" max="1279" width="9.140625" style="319"/>
    <col min="1280" max="1280" width="4.7109375" style="319" customWidth="1"/>
    <col min="1281" max="1281" width="12.85546875" style="319" bestFit="1" customWidth="1"/>
    <col min="1282" max="1282" width="84" style="319" customWidth="1"/>
    <col min="1283" max="1283" width="22.140625" style="319" customWidth="1"/>
    <col min="1284" max="1284" width="16.85546875" style="319" bestFit="1" customWidth="1"/>
    <col min="1285" max="1285" width="16" style="319" customWidth="1"/>
    <col min="1286" max="1287" width="9.140625" style="319"/>
    <col min="1288" max="1288" width="10.140625" style="319" bestFit="1" customWidth="1"/>
    <col min="1289" max="1535" width="9.140625" style="319"/>
    <col min="1536" max="1536" width="4.7109375" style="319" customWidth="1"/>
    <col min="1537" max="1537" width="12.85546875" style="319" bestFit="1" customWidth="1"/>
    <col min="1538" max="1538" width="84" style="319" customWidth="1"/>
    <col min="1539" max="1539" width="22.140625" style="319" customWidth="1"/>
    <col min="1540" max="1540" width="16.85546875" style="319" bestFit="1" customWidth="1"/>
    <col min="1541" max="1541" width="16" style="319" customWidth="1"/>
    <col min="1542" max="1543" width="9.140625" style="319"/>
    <col min="1544" max="1544" width="10.140625" style="319" bestFit="1" customWidth="1"/>
    <col min="1545" max="1791" width="9.140625" style="319"/>
    <col min="1792" max="1792" width="4.7109375" style="319" customWidth="1"/>
    <col min="1793" max="1793" width="12.85546875" style="319" bestFit="1" customWidth="1"/>
    <col min="1794" max="1794" width="84" style="319" customWidth="1"/>
    <col min="1795" max="1795" width="22.140625" style="319" customWidth="1"/>
    <col min="1796" max="1796" width="16.85546875" style="319" bestFit="1" customWidth="1"/>
    <col min="1797" max="1797" width="16" style="319" customWidth="1"/>
    <col min="1798" max="1799" width="9.140625" style="319"/>
    <col min="1800" max="1800" width="10.140625" style="319" bestFit="1" customWidth="1"/>
    <col min="1801" max="2047" width="9.140625" style="319"/>
    <col min="2048" max="2048" width="4.7109375" style="319" customWidth="1"/>
    <col min="2049" max="2049" width="12.85546875" style="319" bestFit="1" customWidth="1"/>
    <col min="2050" max="2050" width="84" style="319" customWidth="1"/>
    <col min="2051" max="2051" width="22.140625" style="319" customWidth="1"/>
    <col min="2052" max="2052" width="16.85546875" style="319" bestFit="1" customWidth="1"/>
    <col min="2053" max="2053" width="16" style="319" customWidth="1"/>
    <col min="2054" max="2055" width="9.140625" style="319"/>
    <col min="2056" max="2056" width="10.140625" style="319" bestFit="1" customWidth="1"/>
    <col min="2057" max="2303" width="9.140625" style="319"/>
    <col min="2304" max="2304" width="4.7109375" style="319" customWidth="1"/>
    <col min="2305" max="2305" width="12.85546875" style="319" bestFit="1" customWidth="1"/>
    <col min="2306" max="2306" width="84" style="319" customWidth="1"/>
    <col min="2307" max="2307" width="22.140625" style="319" customWidth="1"/>
    <col min="2308" max="2308" width="16.85546875" style="319" bestFit="1" customWidth="1"/>
    <col min="2309" max="2309" width="16" style="319" customWidth="1"/>
    <col min="2310" max="2311" width="9.140625" style="319"/>
    <col min="2312" max="2312" width="10.140625" style="319" bestFit="1" customWidth="1"/>
    <col min="2313" max="2559" width="9.140625" style="319"/>
    <col min="2560" max="2560" width="4.7109375" style="319" customWidth="1"/>
    <col min="2561" max="2561" width="12.85546875" style="319" bestFit="1" customWidth="1"/>
    <col min="2562" max="2562" width="84" style="319" customWidth="1"/>
    <col min="2563" max="2563" width="22.140625" style="319" customWidth="1"/>
    <col min="2564" max="2564" width="16.85546875" style="319" bestFit="1" customWidth="1"/>
    <col min="2565" max="2565" width="16" style="319" customWidth="1"/>
    <col min="2566" max="2567" width="9.140625" style="319"/>
    <col min="2568" max="2568" width="10.140625" style="319" bestFit="1" customWidth="1"/>
    <col min="2569" max="2815" width="9.140625" style="319"/>
    <col min="2816" max="2816" width="4.7109375" style="319" customWidth="1"/>
    <col min="2817" max="2817" width="12.85546875" style="319" bestFit="1" customWidth="1"/>
    <col min="2818" max="2818" width="84" style="319" customWidth="1"/>
    <col min="2819" max="2819" width="22.140625" style="319" customWidth="1"/>
    <col min="2820" max="2820" width="16.85546875" style="319" bestFit="1" customWidth="1"/>
    <col min="2821" max="2821" width="16" style="319" customWidth="1"/>
    <col min="2822" max="2823" width="9.140625" style="319"/>
    <col min="2824" max="2824" width="10.140625" style="319" bestFit="1" customWidth="1"/>
    <col min="2825" max="3071" width="9.140625" style="319"/>
    <col min="3072" max="3072" width="4.7109375" style="319" customWidth="1"/>
    <col min="3073" max="3073" width="12.85546875" style="319" bestFit="1" customWidth="1"/>
    <col min="3074" max="3074" width="84" style="319" customWidth="1"/>
    <col min="3075" max="3075" width="22.140625" style="319" customWidth="1"/>
    <col min="3076" max="3076" width="16.85546875" style="319" bestFit="1" customWidth="1"/>
    <col min="3077" max="3077" width="16" style="319" customWidth="1"/>
    <col min="3078" max="3079" width="9.140625" style="319"/>
    <col min="3080" max="3080" width="10.140625" style="319" bestFit="1" customWidth="1"/>
    <col min="3081" max="3327" width="9.140625" style="319"/>
    <col min="3328" max="3328" width="4.7109375" style="319" customWidth="1"/>
    <col min="3329" max="3329" width="12.85546875" style="319" bestFit="1" customWidth="1"/>
    <col min="3330" max="3330" width="84" style="319" customWidth="1"/>
    <col min="3331" max="3331" width="22.140625" style="319" customWidth="1"/>
    <col min="3332" max="3332" width="16.85546875" style="319" bestFit="1" customWidth="1"/>
    <col min="3333" max="3333" width="16" style="319" customWidth="1"/>
    <col min="3334" max="3335" width="9.140625" style="319"/>
    <col min="3336" max="3336" width="10.140625" style="319" bestFit="1" customWidth="1"/>
    <col min="3337" max="3583" width="9.140625" style="319"/>
    <col min="3584" max="3584" width="4.7109375" style="319" customWidth="1"/>
    <col min="3585" max="3585" width="12.85546875" style="319" bestFit="1" customWidth="1"/>
    <col min="3586" max="3586" width="84" style="319" customWidth="1"/>
    <col min="3587" max="3587" width="22.140625" style="319" customWidth="1"/>
    <col min="3588" max="3588" width="16.85546875" style="319" bestFit="1" customWidth="1"/>
    <col min="3589" max="3589" width="16" style="319" customWidth="1"/>
    <col min="3590" max="3591" width="9.140625" style="319"/>
    <col min="3592" max="3592" width="10.140625" style="319" bestFit="1" customWidth="1"/>
    <col min="3593" max="3839" width="9.140625" style="319"/>
    <col min="3840" max="3840" width="4.7109375" style="319" customWidth="1"/>
    <col min="3841" max="3841" width="12.85546875" style="319" bestFit="1" customWidth="1"/>
    <col min="3842" max="3842" width="84" style="319" customWidth="1"/>
    <col min="3843" max="3843" width="22.140625" style="319" customWidth="1"/>
    <col min="3844" max="3844" width="16.85546875" style="319" bestFit="1" customWidth="1"/>
    <col min="3845" max="3845" width="16" style="319" customWidth="1"/>
    <col min="3846" max="3847" width="9.140625" style="319"/>
    <col min="3848" max="3848" width="10.140625" style="319" bestFit="1" customWidth="1"/>
    <col min="3849" max="4095" width="9.140625" style="319"/>
    <col min="4096" max="4096" width="4.7109375" style="319" customWidth="1"/>
    <col min="4097" max="4097" width="12.85546875" style="319" bestFit="1" customWidth="1"/>
    <col min="4098" max="4098" width="84" style="319" customWidth="1"/>
    <col min="4099" max="4099" width="22.140625" style="319" customWidth="1"/>
    <col min="4100" max="4100" width="16.85546875" style="319" bestFit="1" customWidth="1"/>
    <col min="4101" max="4101" width="16" style="319" customWidth="1"/>
    <col min="4102" max="4103" width="9.140625" style="319"/>
    <col min="4104" max="4104" width="10.140625" style="319" bestFit="1" customWidth="1"/>
    <col min="4105" max="4351" width="9.140625" style="319"/>
    <col min="4352" max="4352" width="4.7109375" style="319" customWidth="1"/>
    <col min="4353" max="4353" width="12.85546875" style="319" bestFit="1" customWidth="1"/>
    <col min="4354" max="4354" width="84" style="319" customWidth="1"/>
    <col min="4355" max="4355" width="22.140625" style="319" customWidth="1"/>
    <col min="4356" max="4356" width="16.85546875" style="319" bestFit="1" customWidth="1"/>
    <col min="4357" max="4357" width="16" style="319" customWidth="1"/>
    <col min="4358" max="4359" width="9.140625" style="319"/>
    <col min="4360" max="4360" width="10.140625" style="319" bestFit="1" customWidth="1"/>
    <col min="4361" max="4607" width="9.140625" style="319"/>
    <col min="4608" max="4608" width="4.7109375" style="319" customWidth="1"/>
    <col min="4609" max="4609" width="12.85546875" style="319" bestFit="1" customWidth="1"/>
    <col min="4610" max="4610" width="84" style="319" customWidth="1"/>
    <col min="4611" max="4611" width="22.140625" style="319" customWidth="1"/>
    <col min="4612" max="4612" width="16.85546875" style="319" bestFit="1" customWidth="1"/>
    <col min="4613" max="4613" width="16" style="319" customWidth="1"/>
    <col min="4614" max="4615" width="9.140625" style="319"/>
    <col min="4616" max="4616" width="10.140625" style="319" bestFit="1" customWidth="1"/>
    <col min="4617" max="4863" width="9.140625" style="319"/>
    <col min="4864" max="4864" width="4.7109375" style="319" customWidth="1"/>
    <col min="4865" max="4865" width="12.85546875" style="319" bestFit="1" customWidth="1"/>
    <col min="4866" max="4866" width="84" style="319" customWidth="1"/>
    <col min="4867" max="4867" width="22.140625" style="319" customWidth="1"/>
    <col min="4868" max="4868" width="16.85546875" style="319" bestFit="1" customWidth="1"/>
    <col min="4869" max="4869" width="16" style="319" customWidth="1"/>
    <col min="4870" max="4871" width="9.140625" style="319"/>
    <col min="4872" max="4872" width="10.140625" style="319" bestFit="1" customWidth="1"/>
    <col min="4873" max="5119" width="9.140625" style="319"/>
    <col min="5120" max="5120" width="4.7109375" style="319" customWidth="1"/>
    <col min="5121" max="5121" width="12.85546875" style="319" bestFit="1" customWidth="1"/>
    <col min="5122" max="5122" width="84" style="319" customWidth="1"/>
    <col min="5123" max="5123" width="22.140625" style="319" customWidth="1"/>
    <col min="5124" max="5124" width="16.85546875" style="319" bestFit="1" customWidth="1"/>
    <col min="5125" max="5125" width="16" style="319" customWidth="1"/>
    <col min="5126" max="5127" width="9.140625" style="319"/>
    <col min="5128" max="5128" width="10.140625" style="319" bestFit="1" customWidth="1"/>
    <col min="5129" max="5375" width="9.140625" style="319"/>
    <col min="5376" max="5376" width="4.7109375" style="319" customWidth="1"/>
    <col min="5377" max="5377" width="12.85546875" style="319" bestFit="1" customWidth="1"/>
    <col min="5378" max="5378" width="84" style="319" customWidth="1"/>
    <col min="5379" max="5379" width="22.140625" style="319" customWidth="1"/>
    <col min="5380" max="5380" width="16.85546875" style="319" bestFit="1" customWidth="1"/>
    <col min="5381" max="5381" width="16" style="319" customWidth="1"/>
    <col min="5382" max="5383" width="9.140625" style="319"/>
    <col min="5384" max="5384" width="10.140625" style="319" bestFit="1" customWidth="1"/>
    <col min="5385" max="5631" width="9.140625" style="319"/>
    <col min="5632" max="5632" width="4.7109375" style="319" customWidth="1"/>
    <col min="5633" max="5633" width="12.85546875" style="319" bestFit="1" customWidth="1"/>
    <col min="5634" max="5634" width="84" style="319" customWidth="1"/>
    <col min="5635" max="5635" width="22.140625" style="319" customWidth="1"/>
    <col min="5636" max="5636" width="16.85546875" style="319" bestFit="1" customWidth="1"/>
    <col min="5637" max="5637" width="16" style="319" customWidth="1"/>
    <col min="5638" max="5639" width="9.140625" style="319"/>
    <col min="5640" max="5640" width="10.140625" style="319" bestFit="1" customWidth="1"/>
    <col min="5641" max="5887" width="9.140625" style="319"/>
    <col min="5888" max="5888" width="4.7109375" style="319" customWidth="1"/>
    <col min="5889" max="5889" width="12.85546875" style="319" bestFit="1" customWidth="1"/>
    <col min="5890" max="5890" width="84" style="319" customWidth="1"/>
    <col min="5891" max="5891" width="22.140625" style="319" customWidth="1"/>
    <col min="5892" max="5892" width="16.85546875" style="319" bestFit="1" customWidth="1"/>
    <col min="5893" max="5893" width="16" style="319" customWidth="1"/>
    <col min="5894" max="5895" width="9.140625" style="319"/>
    <col min="5896" max="5896" width="10.140625" style="319" bestFit="1" customWidth="1"/>
    <col min="5897" max="6143" width="9.140625" style="319"/>
    <col min="6144" max="6144" width="4.7109375" style="319" customWidth="1"/>
    <col min="6145" max="6145" width="12.85546875" style="319" bestFit="1" customWidth="1"/>
    <col min="6146" max="6146" width="84" style="319" customWidth="1"/>
    <col min="6147" max="6147" width="22.140625" style="319" customWidth="1"/>
    <col min="6148" max="6148" width="16.85546875" style="319" bestFit="1" customWidth="1"/>
    <col min="6149" max="6149" width="16" style="319" customWidth="1"/>
    <col min="6150" max="6151" width="9.140625" style="319"/>
    <col min="6152" max="6152" width="10.140625" style="319" bestFit="1" customWidth="1"/>
    <col min="6153" max="6399" width="9.140625" style="319"/>
    <col min="6400" max="6400" width="4.7109375" style="319" customWidth="1"/>
    <col min="6401" max="6401" width="12.85546875" style="319" bestFit="1" customWidth="1"/>
    <col min="6402" max="6402" width="84" style="319" customWidth="1"/>
    <col min="6403" max="6403" width="22.140625" style="319" customWidth="1"/>
    <col min="6404" max="6404" width="16.85546875" style="319" bestFit="1" customWidth="1"/>
    <col min="6405" max="6405" width="16" style="319" customWidth="1"/>
    <col min="6406" max="6407" width="9.140625" style="319"/>
    <col min="6408" max="6408" width="10.140625" style="319" bestFit="1" customWidth="1"/>
    <col min="6409" max="6655" width="9.140625" style="319"/>
    <col min="6656" max="6656" width="4.7109375" style="319" customWidth="1"/>
    <col min="6657" max="6657" width="12.85546875" style="319" bestFit="1" customWidth="1"/>
    <col min="6658" max="6658" width="84" style="319" customWidth="1"/>
    <col min="6659" max="6659" width="22.140625" style="319" customWidth="1"/>
    <col min="6660" max="6660" width="16.85546875" style="319" bestFit="1" customWidth="1"/>
    <col min="6661" max="6661" width="16" style="319" customWidth="1"/>
    <col min="6662" max="6663" width="9.140625" style="319"/>
    <col min="6664" max="6664" width="10.140625" style="319" bestFit="1" customWidth="1"/>
    <col min="6665" max="6911" width="9.140625" style="319"/>
    <col min="6912" max="6912" width="4.7109375" style="319" customWidth="1"/>
    <col min="6913" max="6913" width="12.85546875" style="319" bestFit="1" customWidth="1"/>
    <col min="6914" max="6914" width="84" style="319" customWidth="1"/>
    <col min="6915" max="6915" width="22.140625" style="319" customWidth="1"/>
    <col min="6916" max="6916" width="16.85546875" style="319" bestFit="1" customWidth="1"/>
    <col min="6917" max="6917" width="16" style="319" customWidth="1"/>
    <col min="6918" max="6919" width="9.140625" style="319"/>
    <col min="6920" max="6920" width="10.140625" style="319" bestFit="1" customWidth="1"/>
    <col min="6921" max="7167" width="9.140625" style="319"/>
    <col min="7168" max="7168" width="4.7109375" style="319" customWidth="1"/>
    <col min="7169" max="7169" width="12.85546875" style="319" bestFit="1" customWidth="1"/>
    <col min="7170" max="7170" width="84" style="319" customWidth="1"/>
    <col min="7171" max="7171" width="22.140625" style="319" customWidth="1"/>
    <col min="7172" max="7172" width="16.85546875" style="319" bestFit="1" customWidth="1"/>
    <col min="7173" max="7173" width="16" style="319" customWidth="1"/>
    <col min="7174" max="7175" width="9.140625" style="319"/>
    <col min="7176" max="7176" width="10.140625" style="319" bestFit="1" customWidth="1"/>
    <col min="7177" max="7423" width="9.140625" style="319"/>
    <col min="7424" max="7424" width="4.7109375" style="319" customWidth="1"/>
    <col min="7425" max="7425" width="12.85546875" style="319" bestFit="1" customWidth="1"/>
    <col min="7426" max="7426" width="84" style="319" customWidth="1"/>
    <col min="7427" max="7427" width="22.140625" style="319" customWidth="1"/>
    <col min="7428" max="7428" width="16.85546875" style="319" bestFit="1" customWidth="1"/>
    <col min="7429" max="7429" width="16" style="319" customWidth="1"/>
    <col min="7430" max="7431" width="9.140625" style="319"/>
    <col min="7432" max="7432" width="10.140625" style="319" bestFit="1" customWidth="1"/>
    <col min="7433" max="7679" width="9.140625" style="319"/>
    <col min="7680" max="7680" width="4.7109375" style="319" customWidth="1"/>
    <col min="7681" max="7681" width="12.85546875" style="319" bestFit="1" customWidth="1"/>
    <col min="7682" max="7682" width="84" style="319" customWidth="1"/>
    <col min="7683" max="7683" width="22.140625" style="319" customWidth="1"/>
    <col min="7684" max="7684" width="16.85546875" style="319" bestFit="1" customWidth="1"/>
    <col min="7685" max="7685" width="16" style="319" customWidth="1"/>
    <col min="7686" max="7687" width="9.140625" style="319"/>
    <col min="7688" max="7688" width="10.140625" style="319" bestFit="1" customWidth="1"/>
    <col min="7689" max="7935" width="9.140625" style="319"/>
    <col min="7936" max="7936" width="4.7109375" style="319" customWidth="1"/>
    <col min="7937" max="7937" width="12.85546875" style="319" bestFit="1" customWidth="1"/>
    <col min="7938" max="7938" width="84" style="319" customWidth="1"/>
    <col min="7939" max="7939" width="22.140625" style="319" customWidth="1"/>
    <col min="7940" max="7940" width="16.85546875" style="319" bestFit="1" customWidth="1"/>
    <col min="7941" max="7941" width="16" style="319" customWidth="1"/>
    <col min="7942" max="7943" width="9.140625" style="319"/>
    <col min="7944" max="7944" width="10.140625" style="319" bestFit="1" customWidth="1"/>
    <col min="7945" max="8191" width="9.140625" style="319"/>
    <col min="8192" max="8192" width="4.7109375" style="319" customWidth="1"/>
    <col min="8193" max="8193" width="12.85546875" style="319" bestFit="1" customWidth="1"/>
    <col min="8194" max="8194" width="84" style="319" customWidth="1"/>
    <col min="8195" max="8195" width="22.140625" style="319" customWidth="1"/>
    <col min="8196" max="8196" width="16.85546875" style="319" bestFit="1" customWidth="1"/>
    <col min="8197" max="8197" width="16" style="319" customWidth="1"/>
    <col min="8198" max="8199" width="9.140625" style="319"/>
    <col min="8200" max="8200" width="10.140625" style="319" bestFit="1" customWidth="1"/>
    <col min="8201" max="8447" width="9.140625" style="319"/>
    <col min="8448" max="8448" width="4.7109375" style="319" customWidth="1"/>
    <col min="8449" max="8449" width="12.85546875" style="319" bestFit="1" customWidth="1"/>
    <col min="8450" max="8450" width="84" style="319" customWidth="1"/>
    <col min="8451" max="8451" width="22.140625" style="319" customWidth="1"/>
    <col min="8452" max="8452" width="16.85546875" style="319" bestFit="1" customWidth="1"/>
    <col min="8453" max="8453" width="16" style="319" customWidth="1"/>
    <col min="8454" max="8455" width="9.140625" style="319"/>
    <col min="8456" max="8456" width="10.140625" style="319" bestFit="1" customWidth="1"/>
    <col min="8457" max="8703" width="9.140625" style="319"/>
    <col min="8704" max="8704" width="4.7109375" style="319" customWidth="1"/>
    <col min="8705" max="8705" width="12.85546875" style="319" bestFit="1" customWidth="1"/>
    <col min="8706" max="8706" width="84" style="319" customWidth="1"/>
    <col min="8707" max="8707" width="22.140625" style="319" customWidth="1"/>
    <col min="8708" max="8708" width="16.85546875" style="319" bestFit="1" customWidth="1"/>
    <col min="8709" max="8709" width="16" style="319" customWidth="1"/>
    <col min="8710" max="8711" width="9.140625" style="319"/>
    <col min="8712" max="8712" width="10.140625" style="319" bestFit="1" customWidth="1"/>
    <col min="8713" max="8959" width="9.140625" style="319"/>
    <col min="8960" max="8960" width="4.7109375" style="319" customWidth="1"/>
    <col min="8961" max="8961" width="12.85546875" style="319" bestFit="1" customWidth="1"/>
    <col min="8962" max="8962" width="84" style="319" customWidth="1"/>
    <col min="8963" max="8963" width="22.140625" style="319" customWidth="1"/>
    <col min="8964" max="8964" width="16.85546875" style="319" bestFit="1" customWidth="1"/>
    <col min="8965" max="8965" width="16" style="319" customWidth="1"/>
    <col min="8966" max="8967" width="9.140625" style="319"/>
    <col min="8968" max="8968" width="10.140625" style="319" bestFit="1" customWidth="1"/>
    <col min="8969" max="9215" width="9.140625" style="319"/>
    <col min="9216" max="9216" width="4.7109375" style="319" customWidth="1"/>
    <col min="9217" max="9217" width="12.85546875" style="319" bestFit="1" customWidth="1"/>
    <col min="9218" max="9218" width="84" style="319" customWidth="1"/>
    <col min="9219" max="9219" width="22.140625" style="319" customWidth="1"/>
    <col min="9220" max="9220" width="16.85546875" style="319" bestFit="1" customWidth="1"/>
    <col min="9221" max="9221" width="16" style="319" customWidth="1"/>
    <col min="9222" max="9223" width="9.140625" style="319"/>
    <col min="9224" max="9224" width="10.140625" style="319" bestFit="1" customWidth="1"/>
    <col min="9225" max="9471" width="9.140625" style="319"/>
    <col min="9472" max="9472" width="4.7109375" style="319" customWidth="1"/>
    <col min="9473" max="9473" width="12.85546875" style="319" bestFit="1" customWidth="1"/>
    <col min="9474" max="9474" width="84" style="319" customWidth="1"/>
    <col min="9475" max="9475" width="22.140625" style="319" customWidth="1"/>
    <col min="9476" max="9476" width="16.85546875" style="319" bestFit="1" customWidth="1"/>
    <col min="9477" max="9477" width="16" style="319" customWidth="1"/>
    <col min="9478" max="9479" width="9.140625" style="319"/>
    <col min="9480" max="9480" width="10.140625" style="319" bestFit="1" customWidth="1"/>
    <col min="9481" max="9727" width="9.140625" style="319"/>
    <col min="9728" max="9728" width="4.7109375" style="319" customWidth="1"/>
    <col min="9729" max="9729" width="12.85546875" style="319" bestFit="1" customWidth="1"/>
    <col min="9730" max="9730" width="84" style="319" customWidth="1"/>
    <col min="9731" max="9731" width="22.140625" style="319" customWidth="1"/>
    <col min="9732" max="9732" width="16.85546875" style="319" bestFit="1" customWidth="1"/>
    <col min="9733" max="9733" width="16" style="319" customWidth="1"/>
    <col min="9734" max="9735" width="9.140625" style="319"/>
    <col min="9736" max="9736" width="10.140625" style="319" bestFit="1" customWidth="1"/>
    <col min="9737" max="9983" width="9.140625" style="319"/>
    <col min="9984" max="9984" width="4.7109375" style="319" customWidth="1"/>
    <col min="9985" max="9985" width="12.85546875" style="319" bestFit="1" customWidth="1"/>
    <col min="9986" max="9986" width="84" style="319" customWidth="1"/>
    <col min="9987" max="9987" width="22.140625" style="319" customWidth="1"/>
    <col min="9988" max="9988" width="16.85546875" style="319" bestFit="1" customWidth="1"/>
    <col min="9989" max="9989" width="16" style="319" customWidth="1"/>
    <col min="9990" max="9991" width="9.140625" style="319"/>
    <col min="9992" max="9992" width="10.140625" style="319" bestFit="1" customWidth="1"/>
    <col min="9993" max="10239" width="9.140625" style="319"/>
    <col min="10240" max="10240" width="4.7109375" style="319" customWidth="1"/>
    <col min="10241" max="10241" width="12.85546875" style="319" bestFit="1" customWidth="1"/>
    <col min="10242" max="10242" width="84" style="319" customWidth="1"/>
    <col min="10243" max="10243" width="22.140625" style="319" customWidth="1"/>
    <col min="10244" max="10244" width="16.85546875" style="319" bestFit="1" customWidth="1"/>
    <col min="10245" max="10245" width="16" style="319" customWidth="1"/>
    <col min="10246" max="10247" width="9.140625" style="319"/>
    <col min="10248" max="10248" width="10.140625" style="319" bestFit="1" customWidth="1"/>
    <col min="10249" max="10495" width="9.140625" style="319"/>
    <col min="10496" max="10496" width="4.7109375" style="319" customWidth="1"/>
    <col min="10497" max="10497" width="12.85546875" style="319" bestFit="1" customWidth="1"/>
    <col min="10498" max="10498" width="84" style="319" customWidth="1"/>
    <col min="10499" max="10499" width="22.140625" style="319" customWidth="1"/>
    <col min="10500" max="10500" width="16.85546875" style="319" bestFit="1" customWidth="1"/>
    <col min="10501" max="10501" width="16" style="319" customWidth="1"/>
    <col min="10502" max="10503" width="9.140625" style="319"/>
    <col min="10504" max="10504" width="10.140625" style="319" bestFit="1" customWidth="1"/>
    <col min="10505" max="10751" width="9.140625" style="319"/>
    <col min="10752" max="10752" width="4.7109375" style="319" customWidth="1"/>
    <col min="10753" max="10753" width="12.85546875" style="319" bestFit="1" customWidth="1"/>
    <col min="10754" max="10754" width="84" style="319" customWidth="1"/>
    <col min="10755" max="10755" width="22.140625" style="319" customWidth="1"/>
    <col min="10756" max="10756" width="16.85546875" style="319" bestFit="1" customWidth="1"/>
    <col min="10757" max="10757" width="16" style="319" customWidth="1"/>
    <col min="10758" max="10759" width="9.140625" style="319"/>
    <col min="10760" max="10760" width="10.140625" style="319" bestFit="1" customWidth="1"/>
    <col min="10761" max="11007" width="9.140625" style="319"/>
    <col min="11008" max="11008" width="4.7109375" style="319" customWidth="1"/>
    <col min="11009" max="11009" width="12.85546875" style="319" bestFit="1" customWidth="1"/>
    <col min="11010" max="11010" width="84" style="319" customWidth="1"/>
    <col min="11011" max="11011" width="22.140625" style="319" customWidth="1"/>
    <col min="11012" max="11012" width="16.85546875" style="319" bestFit="1" customWidth="1"/>
    <col min="11013" max="11013" width="16" style="319" customWidth="1"/>
    <col min="11014" max="11015" width="9.140625" style="319"/>
    <col min="11016" max="11016" width="10.140625" style="319" bestFit="1" customWidth="1"/>
    <col min="11017" max="11263" width="9.140625" style="319"/>
    <col min="11264" max="11264" width="4.7109375" style="319" customWidth="1"/>
    <col min="11265" max="11265" width="12.85546875" style="319" bestFit="1" customWidth="1"/>
    <col min="11266" max="11266" width="84" style="319" customWidth="1"/>
    <col min="11267" max="11267" width="22.140625" style="319" customWidth="1"/>
    <col min="11268" max="11268" width="16.85546875" style="319" bestFit="1" customWidth="1"/>
    <col min="11269" max="11269" width="16" style="319" customWidth="1"/>
    <col min="11270" max="11271" width="9.140625" style="319"/>
    <col min="11272" max="11272" width="10.140625" style="319" bestFit="1" customWidth="1"/>
    <col min="11273" max="11519" width="9.140625" style="319"/>
    <col min="11520" max="11520" width="4.7109375" style="319" customWidth="1"/>
    <col min="11521" max="11521" width="12.85546875" style="319" bestFit="1" customWidth="1"/>
    <col min="11522" max="11522" width="84" style="319" customWidth="1"/>
    <col min="11523" max="11523" width="22.140625" style="319" customWidth="1"/>
    <col min="11524" max="11524" width="16.85546875" style="319" bestFit="1" customWidth="1"/>
    <col min="11525" max="11525" width="16" style="319" customWidth="1"/>
    <col min="11526" max="11527" width="9.140625" style="319"/>
    <col min="11528" max="11528" width="10.140625" style="319" bestFit="1" customWidth="1"/>
    <col min="11529" max="11775" width="9.140625" style="319"/>
    <col min="11776" max="11776" width="4.7109375" style="319" customWidth="1"/>
    <col min="11777" max="11777" width="12.85546875" style="319" bestFit="1" customWidth="1"/>
    <col min="11778" max="11778" width="84" style="319" customWidth="1"/>
    <col min="11779" max="11779" width="22.140625" style="319" customWidth="1"/>
    <col min="11780" max="11780" width="16.85546875" style="319" bestFit="1" customWidth="1"/>
    <col min="11781" max="11781" width="16" style="319" customWidth="1"/>
    <col min="11782" max="11783" width="9.140625" style="319"/>
    <col min="11784" max="11784" width="10.140625" style="319" bestFit="1" customWidth="1"/>
    <col min="11785" max="12031" width="9.140625" style="319"/>
    <col min="12032" max="12032" width="4.7109375" style="319" customWidth="1"/>
    <col min="12033" max="12033" width="12.85546875" style="319" bestFit="1" customWidth="1"/>
    <col min="12034" max="12034" width="84" style="319" customWidth="1"/>
    <col min="12035" max="12035" width="22.140625" style="319" customWidth="1"/>
    <col min="12036" max="12036" width="16.85546875" style="319" bestFit="1" customWidth="1"/>
    <col min="12037" max="12037" width="16" style="319" customWidth="1"/>
    <col min="12038" max="12039" width="9.140625" style="319"/>
    <col min="12040" max="12040" width="10.140625" style="319" bestFit="1" customWidth="1"/>
    <col min="12041" max="12287" width="9.140625" style="319"/>
    <col min="12288" max="12288" width="4.7109375" style="319" customWidth="1"/>
    <col min="12289" max="12289" width="12.85546875" style="319" bestFit="1" customWidth="1"/>
    <col min="12290" max="12290" width="84" style="319" customWidth="1"/>
    <col min="12291" max="12291" width="22.140625" style="319" customWidth="1"/>
    <col min="12292" max="12292" width="16.85546875" style="319" bestFit="1" customWidth="1"/>
    <col min="12293" max="12293" width="16" style="319" customWidth="1"/>
    <col min="12294" max="12295" width="9.140625" style="319"/>
    <col min="12296" max="12296" width="10.140625" style="319" bestFit="1" customWidth="1"/>
    <col min="12297" max="12543" width="9.140625" style="319"/>
    <col min="12544" max="12544" width="4.7109375" style="319" customWidth="1"/>
    <col min="12545" max="12545" width="12.85546875" style="319" bestFit="1" customWidth="1"/>
    <col min="12546" max="12546" width="84" style="319" customWidth="1"/>
    <col min="12547" max="12547" width="22.140625" style="319" customWidth="1"/>
    <col min="12548" max="12548" width="16.85546875" style="319" bestFit="1" customWidth="1"/>
    <col min="12549" max="12549" width="16" style="319" customWidth="1"/>
    <col min="12550" max="12551" width="9.140625" style="319"/>
    <col min="12552" max="12552" width="10.140625" style="319" bestFit="1" customWidth="1"/>
    <col min="12553" max="12799" width="9.140625" style="319"/>
    <col min="12800" max="12800" width="4.7109375" style="319" customWidth="1"/>
    <col min="12801" max="12801" width="12.85546875" style="319" bestFit="1" customWidth="1"/>
    <col min="12802" max="12802" width="84" style="319" customWidth="1"/>
    <col min="12803" max="12803" width="22.140625" style="319" customWidth="1"/>
    <col min="12804" max="12804" width="16.85546875" style="319" bestFit="1" customWidth="1"/>
    <col min="12805" max="12805" width="16" style="319" customWidth="1"/>
    <col min="12806" max="12807" width="9.140625" style="319"/>
    <col min="12808" max="12808" width="10.140625" style="319" bestFit="1" customWidth="1"/>
    <col min="12809" max="13055" width="9.140625" style="319"/>
    <col min="13056" max="13056" width="4.7109375" style="319" customWidth="1"/>
    <col min="13057" max="13057" width="12.85546875" style="319" bestFit="1" customWidth="1"/>
    <col min="13058" max="13058" width="84" style="319" customWidth="1"/>
    <col min="13059" max="13059" width="22.140625" style="319" customWidth="1"/>
    <col min="13060" max="13060" width="16.85546875" style="319" bestFit="1" customWidth="1"/>
    <col min="13061" max="13061" width="16" style="319" customWidth="1"/>
    <col min="13062" max="13063" width="9.140625" style="319"/>
    <col min="13064" max="13064" width="10.140625" style="319" bestFit="1" customWidth="1"/>
    <col min="13065" max="13311" width="9.140625" style="319"/>
    <col min="13312" max="13312" width="4.7109375" style="319" customWidth="1"/>
    <col min="13313" max="13313" width="12.85546875" style="319" bestFit="1" customWidth="1"/>
    <col min="13314" max="13314" width="84" style="319" customWidth="1"/>
    <col min="13315" max="13315" width="22.140625" style="319" customWidth="1"/>
    <col min="13316" max="13316" width="16.85546875" style="319" bestFit="1" customWidth="1"/>
    <col min="13317" max="13317" width="16" style="319" customWidth="1"/>
    <col min="13318" max="13319" width="9.140625" style="319"/>
    <col min="13320" max="13320" width="10.140625" style="319" bestFit="1" customWidth="1"/>
    <col min="13321" max="13567" width="9.140625" style="319"/>
    <col min="13568" max="13568" width="4.7109375" style="319" customWidth="1"/>
    <col min="13569" max="13569" width="12.85546875" style="319" bestFit="1" customWidth="1"/>
    <col min="13570" max="13570" width="84" style="319" customWidth="1"/>
    <col min="13571" max="13571" width="22.140625" style="319" customWidth="1"/>
    <col min="13572" max="13572" width="16.85546875" style="319" bestFit="1" customWidth="1"/>
    <col min="13573" max="13573" width="16" style="319" customWidth="1"/>
    <col min="13574" max="13575" width="9.140625" style="319"/>
    <col min="13576" max="13576" width="10.140625" style="319" bestFit="1" customWidth="1"/>
    <col min="13577" max="13823" width="9.140625" style="319"/>
    <col min="13824" max="13824" width="4.7109375" style="319" customWidth="1"/>
    <col min="13825" max="13825" width="12.85546875" style="319" bestFit="1" customWidth="1"/>
    <col min="13826" max="13826" width="84" style="319" customWidth="1"/>
    <col min="13827" max="13827" width="22.140625" style="319" customWidth="1"/>
    <col min="13828" max="13828" width="16.85546875" style="319" bestFit="1" customWidth="1"/>
    <col min="13829" max="13829" width="16" style="319" customWidth="1"/>
    <col min="13830" max="13831" width="9.140625" style="319"/>
    <col min="13832" max="13832" width="10.140625" style="319" bestFit="1" customWidth="1"/>
    <col min="13833" max="14079" width="9.140625" style="319"/>
    <col min="14080" max="14080" width="4.7109375" style="319" customWidth="1"/>
    <col min="14081" max="14081" width="12.85546875" style="319" bestFit="1" customWidth="1"/>
    <col min="14082" max="14082" width="84" style="319" customWidth="1"/>
    <col min="14083" max="14083" width="22.140625" style="319" customWidth="1"/>
    <col min="14084" max="14084" width="16.85546875" style="319" bestFit="1" customWidth="1"/>
    <col min="14085" max="14085" width="16" style="319" customWidth="1"/>
    <col min="14086" max="14087" width="9.140625" style="319"/>
    <col min="14088" max="14088" width="10.140625" style="319" bestFit="1" customWidth="1"/>
    <col min="14089" max="14335" width="9.140625" style="319"/>
    <col min="14336" max="14336" width="4.7109375" style="319" customWidth="1"/>
    <col min="14337" max="14337" width="12.85546875" style="319" bestFit="1" customWidth="1"/>
    <col min="14338" max="14338" width="84" style="319" customWidth="1"/>
    <col min="14339" max="14339" width="22.140625" style="319" customWidth="1"/>
    <col min="14340" max="14340" width="16.85546875" style="319" bestFit="1" customWidth="1"/>
    <col min="14341" max="14341" width="16" style="319" customWidth="1"/>
    <col min="14342" max="14343" width="9.140625" style="319"/>
    <col min="14344" max="14344" width="10.140625" style="319" bestFit="1" customWidth="1"/>
    <col min="14345" max="14591" width="9.140625" style="319"/>
    <col min="14592" max="14592" width="4.7109375" style="319" customWidth="1"/>
    <col min="14593" max="14593" width="12.85546875" style="319" bestFit="1" customWidth="1"/>
    <col min="14594" max="14594" width="84" style="319" customWidth="1"/>
    <col min="14595" max="14595" width="22.140625" style="319" customWidth="1"/>
    <col min="14596" max="14596" width="16.85546875" style="319" bestFit="1" customWidth="1"/>
    <col min="14597" max="14597" width="16" style="319" customWidth="1"/>
    <col min="14598" max="14599" width="9.140625" style="319"/>
    <col min="14600" max="14600" width="10.140625" style="319" bestFit="1" customWidth="1"/>
    <col min="14601" max="14847" width="9.140625" style="319"/>
    <col min="14848" max="14848" width="4.7109375" style="319" customWidth="1"/>
    <col min="14849" max="14849" width="12.85546875" style="319" bestFit="1" customWidth="1"/>
    <col min="14850" max="14850" width="84" style="319" customWidth="1"/>
    <col min="14851" max="14851" width="22.140625" style="319" customWidth="1"/>
    <col min="14852" max="14852" width="16.85546875" style="319" bestFit="1" customWidth="1"/>
    <col min="14853" max="14853" width="16" style="319" customWidth="1"/>
    <col min="14854" max="14855" width="9.140625" style="319"/>
    <col min="14856" max="14856" width="10.140625" style="319" bestFit="1" customWidth="1"/>
    <col min="14857" max="15103" width="9.140625" style="319"/>
    <col min="15104" max="15104" width="4.7109375" style="319" customWidth="1"/>
    <col min="15105" max="15105" width="12.85546875" style="319" bestFit="1" customWidth="1"/>
    <col min="15106" max="15106" width="84" style="319" customWidth="1"/>
    <col min="15107" max="15107" width="22.140625" style="319" customWidth="1"/>
    <col min="15108" max="15108" width="16.85546875" style="319" bestFit="1" customWidth="1"/>
    <col min="15109" max="15109" width="16" style="319" customWidth="1"/>
    <col min="15110" max="15111" width="9.140625" style="319"/>
    <col min="15112" max="15112" width="10.140625" style="319" bestFit="1" customWidth="1"/>
    <col min="15113" max="15359" width="9.140625" style="319"/>
    <col min="15360" max="15360" width="4.7109375" style="319" customWidth="1"/>
    <col min="15361" max="15361" width="12.85546875" style="319" bestFit="1" customWidth="1"/>
    <col min="15362" max="15362" width="84" style="319" customWidth="1"/>
    <col min="15363" max="15363" width="22.140625" style="319" customWidth="1"/>
    <col min="15364" max="15364" width="16.85546875" style="319" bestFit="1" customWidth="1"/>
    <col min="15365" max="15365" width="16" style="319" customWidth="1"/>
    <col min="15366" max="15367" width="9.140625" style="319"/>
    <col min="15368" max="15368" width="10.140625" style="319" bestFit="1" customWidth="1"/>
    <col min="15369" max="15615" width="9.140625" style="319"/>
    <col min="15616" max="15616" width="4.7109375" style="319" customWidth="1"/>
    <col min="15617" max="15617" width="12.85546875" style="319" bestFit="1" customWidth="1"/>
    <col min="15618" max="15618" width="84" style="319" customWidth="1"/>
    <col min="15619" max="15619" width="22.140625" style="319" customWidth="1"/>
    <col min="15620" max="15620" width="16.85546875" style="319" bestFit="1" customWidth="1"/>
    <col min="15621" max="15621" width="16" style="319" customWidth="1"/>
    <col min="15622" max="15623" width="9.140625" style="319"/>
    <col min="15624" max="15624" width="10.140625" style="319" bestFit="1" customWidth="1"/>
    <col min="15625" max="15871" width="9.140625" style="319"/>
    <col min="15872" max="15872" width="4.7109375" style="319" customWidth="1"/>
    <col min="15873" max="15873" width="12.85546875" style="319" bestFit="1" customWidth="1"/>
    <col min="15874" max="15874" width="84" style="319" customWidth="1"/>
    <col min="15875" max="15875" width="22.140625" style="319" customWidth="1"/>
    <col min="15876" max="15876" width="16.85546875" style="319" bestFit="1" customWidth="1"/>
    <col min="15877" max="15877" width="16" style="319" customWidth="1"/>
    <col min="15878" max="15879" width="9.140625" style="319"/>
    <col min="15880" max="15880" width="10.140625" style="319" bestFit="1" customWidth="1"/>
    <col min="15881" max="16127" width="9.140625" style="319"/>
    <col min="16128" max="16128" width="4.7109375" style="319" customWidth="1"/>
    <col min="16129" max="16129" width="12.85546875" style="319" bestFit="1" customWidth="1"/>
    <col min="16130" max="16130" width="84" style="319" customWidth="1"/>
    <col min="16131" max="16131" width="22.140625" style="319" customWidth="1"/>
    <col min="16132" max="16132" width="16.85546875" style="319" bestFit="1" customWidth="1"/>
    <col min="16133" max="16133" width="16" style="319" customWidth="1"/>
    <col min="16134" max="16135" width="9.140625" style="319"/>
    <col min="16136" max="16136" width="10.140625" style="319" bestFit="1" customWidth="1"/>
    <col min="16137" max="16384" width="9.140625" style="319"/>
  </cols>
  <sheetData>
    <row r="1" spans="1:6">
      <c r="F1" s="318" t="s">
        <v>367</v>
      </c>
    </row>
    <row r="2" spans="1:6">
      <c r="F2" s="318" t="s">
        <v>221</v>
      </c>
    </row>
    <row r="3" spans="1:6">
      <c r="F3" s="318" t="s">
        <v>701</v>
      </c>
    </row>
    <row r="4" spans="1:6">
      <c r="E4" s="320"/>
      <c r="F4" s="320"/>
    </row>
    <row r="5" spans="1:6">
      <c r="E5" s="320"/>
      <c r="F5" s="320"/>
    </row>
    <row r="6" spans="1:6">
      <c r="A6" s="706" t="s">
        <v>791</v>
      </c>
      <c r="B6" s="706"/>
      <c r="C6" s="706"/>
      <c r="D6" s="706"/>
      <c r="E6" s="706"/>
      <c r="F6" s="706"/>
    </row>
    <row r="7" spans="1:6">
      <c r="A7" s="707"/>
      <c r="B7" s="707"/>
      <c r="C7" s="707"/>
      <c r="D7" s="707"/>
      <c r="E7" s="707"/>
      <c r="F7" s="707"/>
    </row>
    <row r="8" spans="1:6">
      <c r="A8" s="708" t="s">
        <v>2</v>
      </c>
      <c r="B8" s="708" t="s">
        <v>3</v>
      </c>
      <c r="C8" s="709" t="s">
        <v>819</v>
      </c>
      <c r="D8" s="711" t="s">
        <v>709</v>
      </c>
      <c r="E8" s="710" t="s">
        <v>789</v>
      </c>
      <c r="F8" s="710" t="s">
        <v>790</v>
      </c>
    </row>
    <row r="9" spans="1:6">
      <c r="A9" s="708"/>
      <c r="B9" s="708"/>
      <c r="C9" s="709"/>
      <c r="D9" s="712"/>
      <c r="E9" s="710"/>
      <c r="F9" s="710"/>
    </row>
    <row r="10" spans="1:6" ht="44.25" customHeight="1">
      <c r="A10" s="708"/>
      <c r="B10" s="708"/>
      <c r="C10" s="709"/>
      <c r="D10" s="712"/>
      <c r="E10" s="710"/>
      <c r="F10" s="710"/>
    </row>
    <row r="11" spans="1:6">
      <c r="A11" s="708"/>
      <c r="B11" s="708"/>
      <c r="C11" s="709"/>
      <c r="D11" s="713"/>
      <c r="E11" s="321" t="s">
        <v>11</v>
      </c>
      <c r="F11" s="321" t="s">
        <v>11</v>
      </c>
    </row>
    <row r="12" spans="1:6" s="324" customFormat="1">
      <c r="A12" s="322">
        <v>1</v>
      </c>
      <c r="B12" s="322">
        <v>2</v>
      </c>
      <c r="C12" s="323">
        <v>3</v>
      </c>
      <c r="D12" s="323"/>
      <c r="E12" s="323">
        <v>5</v>
      </c>
      <c r="F12" s="323">
        <v>6</v>
      </c>
    </row>
    <row r="13" spans="1:6" s="324" customFormat="1" ht="25.5">
      <c r="A13" s="322">
        <v>600</v>
      </c>
      <c r="B13" s="322">
        <v>60014</v>
      </c>
      <c r="C13" s="323" t="s">
        <v>820</v>
      </c>
      <c r="D13" s="323" t="s">
        <v>813</v>
      </c>
      <c r="E13" s="323"/>
      <c r="F13" s="362">
        <v>520000</v>
      </c>
    </row>
    <row r="14" spans="1:6" s="324" customFormat="1" ht="25.5">
      <c r="A14" s="322">
        <v>600</v>
      </c>
      <c r="B14" s="322">
        <v>60014</v>
      </c>
      <c r="C14" s="565" t="s">
        <v>804</v>
      </c>
      <c r="D14" s="323" t="s">
        <v>813</v>
      </c>
      <c r="E14" s="323"/>
      <c r="F14" s="362">
        <v>40000</v>
      </c>
    </row>
    <row r="15" spans="1:6" s="324" customFormat="1" ht="25.5">
      <c r="A15" s="322">
        <v>600</v>
      </c>
      <c r="B15" s="322">
        <v>60014</v>
      </c>
      <c r="C15" s="565" t="s">
        <v>804</v>
      </c>
      <c r="D15" s="323" t="s">
        <v>813</v>
      </c>
      <c r="E15" s="323"/>
      <c r="F15" s="362">
        <v>40000</v>
      </c>
    </row>
    <row r="16" spans="1:6" s="324" customFormat="1">
      <c r="A16" s="322">
        <v>600</v>
      </c>
      <c r="B16" s="322">
        <v>60014</v>
      </c>
      <c r="C16" s="565" t="s">
        <v>805</v>
      </c>
      <c r="D16" s="323" t="s">
        <v>813</v>
      </c>
      <c r="E16" s="323"/>
      <c r="F16" s="362">
        <v>4269269</v>
      </c>
    </row>
    <row r="17" spans="1:8" s="324" customFormat="1">
      <c r="A17" s="322">
        <v>600</v>
      </c>
      <c r="B17" s="322">
        <v>60014</v>
      </c>
      <c r="C17" s="544" t="s">
        <v>806</v>
      </c>
      <c r="D17" s="323" t="s">
        <v>813</v>
      </c>
      <c r="E17" s="323"/>
      <c r="F17" s="362">
        <v>200000</v>
      </c>
    </row>
    <row r="18" spans="1:8" s="324" customFormat="1" ht="29.25" customHeight="1">
      <c r="A18" s="322">
        <v>750</v>
      </c>
      <c r="B18" s="322">
        <v>75020</v>
      </c>
      <c r="C18" s="544" t="s">
        <v>795</v>
      </c>
      <c r="D18" s="323" t="s">
        <v>794</v>
      </c>
      <c r="E18" s="362">
        <v>315799.99</v>
      </c>
      <c r="F18" s="362">
        <v>315799.99</v>
      </c>
    </row>
    <row r="19" spans="1:8" s="324" customFormat="1" ht="25.5">
      <c r="A19" s="322">
        <v>710</v>
      </c>
      <c r="B19" s="322">
        <v>71095</v>
      </c>
      <c r="C19" s="544" t="s">
        <v>53</v>
      </c>
      <c r="D19" s="323" t="s">
        <v>814</v>
      </c>
      <c r="E19" s="323"/>
      <c r="F19" s="362">
        <v>269370</v>
      </c>
    </row>
    <row r="20" spans="1:8" s="324" customFormat="1">
      <c r="A20" s="322">
        <v>758</v>
      </c>
      <c r="B20" s="322">
        <v>75818</v>
      </c>
      <c r="C20" s="544" t="s">
        <v>808</v>
      </c>
      <c r="D20" s="323" t="s">
        <v>96</v>
      </c>
      <c r="E20" s="323"/>
      <c r="F20" s="362">
        <v>3000000</v>
      </c>
    </row>
    <row r="21" spans="1:8" s="324" customFormat="1" ht="33.75" customHeight="1">
      <c r="A21" s="322">
        <v>801</v>
      </c>
      <c r="B21" s="322">
        <v>80102</v>
      </c>
      <c r="C21" s="563" t="s">
        <v>809</v>
      </c>
      <c r="D21" s="323" t="s">
        <v>813</v>
      </c>
      <c r="E21" s="323"/>
      <c r="F21" s="362">
        <v>150000</v>
      </c>
    </row>
    <row r="22" spans="1:8" s="324" customFormat="1" ht="25.5">
      <c r="A22" s="322">
        <v>801</v>
      </c>
      <c r="B22" s="322">
        <v>80117</v>
      </c>
      <c r="C22" s="563" t="s">
        <v>810</v>
      </c>
      <c r="D22" s="323" t="s">
        <v>813</v>
      </c>
      <c r="E22" s="323"/>
      <c r="F22" s="362">
        <v>150000</v>
      </c>
    </row>
    <row r="23" spans="1:8" s="324" customFormat="1" ht="25.5">
      <c r="A23" s="322">
        <v>801</v>
      </c>
      <c r="B23" s="322">
        <v>80120</v>
      </c>
      <c r="C23" s="563" t="s">
        <v>810</v>
      </c>
      <c r="D23" s="323" t="s">
        <v>813</v>
      </c>
      <c r="E23" s="323"/>
      <c r="F23" s="362">
        <v>150000</v>
      </c>
    </row>
    <row r="24" spans="1:8" s="324" customFormat="1" ht="30">
      <c r="A24" s="322">
        <v>801</v>
      </c>
      <c r="B24" s="322">
        <v>80195</v>
      </c>
      <c r="C24" s="535" t="s">
        <v>787</v>
      </c>
      <c r="D24" s="323" t="s">
        <v>279</v>
      </c>
      <c r="E24" s="362">
        <v>456350.54</v>
      </c>
      <c r="F24" s="362">
        <v>456350.54</v>
      </c>
    </row>
    <row r="25" spans="1:8" s="324" customFormat="1">
      <c r="A25" s="322">
        <v>851</v>
      </c>
      <c r="B25" s="322">
        <v>85111</v>
      </c>
      <c r="C25" s="563" t="s">
        <v>811</v>
      </c>
      <c r="D25" s="323"/>
      <c r="E25" s="323"/>
      <c r="F25" s="362">
        <v>666000</v>
      </c>
    </row>
    <row r="26" spans="1:8" s="324" customFormat="1">
      <c r="A26" s="322">
        <v>851</v>
      </c>
      <c r="B26" s="322">
        <v>85111</v>
      </c>
      <c r="C26" s="563" t="s">
        <v>812</v>
      </c>
      <c r="D26" s="323"/>
      <c r="E26" s="323"/>
      <c r="F26" s="362">
        <v>62411</v>
      </c>
    </row>
    <row r="27" spans="1:8" s="324" customFormat="1" ht="25.5">
      <c r="A27" s="322">
        <v>852</v>
      </c>
      <c r="B27" s="322">
        <v>85202</v>
      </c>
      <c r="C27" s="567" t="s">
        <v>707</v>
      </c>
      <c r="D27" s="323"/>
      <c r="E27" s="323"/>
      <c r="F27" s="362">
        <v>116850</v>
      </c>
      <c r="H27" s="566"/>
    </row>
    <row r="28" spans="1:8" s="324" customFormat="1" ht="25.5">
      <c r="A28" s="322">
        <v>854</v>
      </c>
      <c r="B28" s="322">
        <v>85403</v>
      </c>
      <c r="C28" s="563" t="s">
        <v>816</v>
      </c>
      <c r="D28" s="323"/>
      <c r="E28" s="323"/>
      <c r="F28" s="362">
        <v>150000</v>
      </c>
      <c r="H28" s="566"/>
    </row>
    <row r="29" spans="1:8" s="324" customFormat="1" ht="25.5">
      <c r="A29" s="322">
        <v>926</v>
      </c>
      <c r="B29" s="322">
        <v>92601</v>
      </c>
      <c r="C29" s="544" t="s">
        <v>796</v>
      </c>
      <c r="D29" s="323" t="s">
        <v>794</v>
      </c>
      <c r="E29" s="362">
        <v>3810824.68</v>
      </c>
      <c r="F29" s="362">
        <v>5716237.0599999996</v>
      </c>
      <c r="H29" s="566"/>
    </row>
    <row r="30" spans="1:8" s="324" customFormat="1" ht="25.5">
      <c r="A30" s="322">
        <v>926</v>
      </c>
      <c r="B30" s="322">
        <v>92601</v>
      </c>
      <c r="C30" s="567" t="s">
        <v>815</v>
      </c>
      <c r="D30" s="323" t="s">
        <v>794</v>
      </c>
      <c r="E30" s="362">
        <v>595564</v>
      </c>
      <c r="F30" s="362">
        <v>595564</v>
      </c>
      <c r="H30" s="566"/>
    </row>
    <row r="31" spans="1:8" s="324" customFormat="1">
      <c r="A31" s="322"/>
      <c r="B31" s="322"/>
      <c r="C31" s="567"/>
      <c r="D31" s="323"/>
      <c r="E31" s="362"/>
      <c r="F31" s="568">
        <f>SUM(F13:F30)</f>
        <v>16867851.59</v>
      </c>
      <c r="H31" s="566"/>
    </row>
  </sheetData>
  <mergeCells count="7">
    <mergeCell ref="A6:F7"/>
    <mergeCell ref="A8:A11"/>
    <mergeCell ref="B8:B11"/>
    <mergeCell ref="C8:C11"/>
    <mergeCell ref="E8:E10"/>
    <mergeCell ref="F8:F10"/>
    <mergeCell ref="D8:D11"/>
  </mergeCells>
  <printOptions horizontalCentered="1"/>
  <pageMargins left="0.19685039370078741" right="0.19685039370078741" top="0.59055118110236227" bottom="0.59055118110236227" header="0" footer="0.19685039370078741"/>
  <pageSetup paperSize="9" scale="80" orientation="landscape" r:id="rId1"/>
  <headerFooter alignWithMargins="0">
    <oddFooter>Strona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5FB6E-C40E-47E7-9ADE-50DBE65248EA}">
  <sheetPr filterMode="1"/>
  <dimension ref="A1:L1381"/>
  <sheetViews>
    <sheetView showGridLines="0" workbookViewId="0">
      <selection activeCell="H154" sqref="H154"/>
    </sheetView>
  </sheetViews>
  <sheetFormatPr defaultRowHeight="12.75"/>
  <cols>
    <col min="1" max="1" width="10" style="384" customWidth="1"/>
    <col min="2" max="3" width="11.42578125" style="384" customWidth="1"/>
    <col min="4" max="4" width="8.5703125" style="384" customWidth="1"/>
    <col min="5" max="5" width="14.28515625" style="384" customWidth="1"/>
    <col min="6" max="7" width="12.85546875" style="384" customWidth="1"/>
    <col min="8" max="10" width="17.140625" style="384" customWidth="1"/>
    <col min="11" max="11" width="14.28515625" style="384" customWidth="1"/>
    <col min="12" max="12" width="34.28515625" style="384" customWidth="1"/>
    <col min="13" max="256" width="9.140625" style="384"/>
    <col min="257" max="257" width="10" style="384" customWidth="1"/>
    <col min="258" max="259" width="11.42578125" style="384" customWidth="1"/>
    <col min="260" max="260" width="8.5703125" style="384" customWidth="1"/>
    <col min="261" max="261" width="14.28515625" style="384" customWidth="1"/>
    <col min="262" max="263" width="12.85546875" style="384" customWidth="1"/>
    <col min="264" max="266" width="17.140625" style="384" customWidth="1"/>
    <col min="267" max="267" width="14.28515625" style="384" customWidth="1"/>
    <col min="268" max="268" width="34.28515625" style="384" customWidth="1"/>
    <col min="269" max="512" width="9.140625" style="384"/>
    <col min="513" max="513" width="10" style="384" customWidth="1"/>
    <col min="514" max="515" width="11.42578125" style="384" customWidth="1"/>
    <col min="516" max="516" width="8.5703125" style="384" customWidth="1"/>
    <col min="517" max="517" width="14.28515625" style="384" customWidth="1"/>
    <col min="518" max="519" width="12.85546875" style="384" customWidth="1"/>
    <col min="520" max="522" width="17.140625" style="384" customWidth="1"/>
    <col min="523" max="523" width="14.28515625" style="384" customWidth="1"/>
    <col min="524" max="524" width="34.28515625" style="384" customWidth="1"/>
    <col min="525" max="768" width="9.140625" style="384"/>
    <col min="769" max="769" width="10" style="384" customWidth="1"/>
    <col min="770" max="771" width="11.42578125" style="384" customWidth="1"/>
    <col min="772" max="772" width="8.5703125" style="384" customWidth="1"/>
    <col min="773" max="773" width="14.28515625" style="384" customWidth="1"/>
    <col min="774" max="775" width="12.85546875" style="384" customWidth="1"/>
    <col min="776" max="778" width="17.140625" style="384" customWidth="1"/>
    <col min="779" max="779" width="14.28515625" style="384" customWidth="1"/>
    <col min="780" max="780" width="34.28515625" style="384" customWidth="1"/>
    <col min="781" max="1024" width="9.140625" style="384"/>
    <col min="1025" max="1025" width="10" style="384" customWidth="1"/>
    <col min="1026" max="1027" width="11.42578125" style="384" customWidth="1"/>
    <col min="1028" max="1028" width="8.5703125" style="384" customWidth="1"/>
    <col min="1029" max="1029" width="14.28515625" style="384" customWidth="1"/>
    <col min="1030" max="1031" width="12.85546875" style="384" customWidth="1"/>
    <col min="1032" max="1034" width="17.140625" style="384" customWidth="1"/>
    <col min="1035" max="1035" width="14.28515625" style="384" customWidth="1"/>
    <col min="1036" max="1036" width="34.28515625" style="384" customWidth="1"/>
    <col min="1037" max="1280" width="9.140625" style="384"/>
    <col min="1281" max="1281" width="10" style="384" customWidth="1"/>
    <col min="1282" max="1283" width="11.42578125" style="384" customWidth="1"/>
    <col min="1284" max="1284" width="8.5703125" style="384" customWidth="1"/>
    <col min="1285" max="1285" width="14.28515625" style="384" customWidth="1"/>
    <col min="1286" max="1287" width="12.85546875" style="384" customWidth="1"/>
    <col min="1288" max="1290" width="17.140625" style="384" customWidth="1"/>
    <col min="1291" max="1291" width="14.28515625" style="384" customWidth="1"/>
    <col min="1292" max="1292" width="34.28515625" style="384" customWidth="1"/>
    <col min="1293" max="1536" width="9.140625" style="384"/>
    <col min="1537" max="1537" width="10" style="384" customWidth="1"/>
    <col min="1538" max="1539" width="11.42578125" style="384" customWidth="1"/>
    <col min="1540" max="1540" width="8.5703125" style="384" customWidth="1"/>
    <col min="1541" max="1541" width="14.28515625" style="384" customWidth="1"/>
    <col min="1542" max="1543" width="12.85546875" style="384" customWidth="1"/>
    <col min="1544" max="1546" width="17.140625" style="384" customWidth="1"/>
    <col min="1547" max="1547" width="14.28515625" style="384" customWidth="1"/>
    <col min="1548" max="1548" width="34.28515625" style="384" customWidth="1"/>
    <col min="1549" max="1792" width="9.140625" style="384"/>
    <col min="1793" max="1793" width="10" style="384" customWidth="1"/>
    <col min="1794" max="1795" width="11.42578125" style="384" customWidth="1"/>
    <col min="1796" max="1796" width="8.5703125" style="384" customWidth="1"/>
    <col min="1797" max="1797" width="14.28515625" style="384" customWidth="1"/>
    <col min="1798" max="1799" width="12.85546875" style="384" customWidth="1"/>
    <col min="1800" max="1802" width="17.140625" style="384" customWidth="1"/>
    <col min="1803" max="1803" width="14.28515625" style="384" customWidth="1"/>
    <col min="1804" max="1804" width="34.28515625" style="384" customWidth="1"/>
    <col min="1805" max="2048" width="9.140625" style="384"/>
    <col min="2049" max="2049" width="10" style="384" customWidth="1"/>
    <col min="2050" max="2051" width="11.42578125" style="384" customWidth="1"/>
    <col min="2052" max="2052" width="8.5703125" style="384" customWidth="1"/>
    <col min="2053" max="2053" width="14.28515625" style="384" customWidth="1"/>
    <col min="2054" max="2055" width="12.85546875" style="384" customWidth="1"/>
    <col min="2056" max="2058" width="17.140625" style="384" customWidth="1"/>
    <col min="2059" max="2059" width="14.28515625" style="384" customWidth="1"/>
    <col min="2060" max="2060" width="34.28515625" style="384" customWidth="1"/>
    <col min="2061" max="2304" width="9.140625" style="384"/>
    <col min="2305" max="2305" width="10" style="384" customWidth="1"/>
    <col min="2306" max="2307" width="11.42578125" style="384" customWidth="1"/>
    <col min="2308" max="2308" width="8.5703125" style="384" customWidth="1"/>
    <col min="2309" max="2309" width="14.28515625" style="384" customWidth="1"/>
    <col min="2310" max="2311" width="12.85546875" style="384" customWidth="1"/>
    <col min="2312" max="2314" width="17.140625" style="384" customWidth="1"/>
    <col min="2315" max="2315" width="14.28515625" style="384" customWidth="1"/>
    <col min="2316" max="2316" width="34.28515625" style="384" customWidth="1"/>
    <col min="2317" max="2560" width="9.140625" style="384"/>
    <col min="2561" max="2561" width="10" style="384" customWidth="1"/>
    <col min="2562" max="2563" width="11.42578125" style="384" customWidth="1"/>
    <col min="2564" max="2564" width="8.5703125" style="384" customWidth="1"/>
    <col min="2565" max="2565" width="14.28515625" style="384" customWidth="1"/>
    <col min="2566" max="2567" width="12.85546875" style="384" customWidth="1"/>
    <col min="2568" max="2570" width="17.140625" style="384" customWidth="1"/>
    <col min="2571" max="2571" width="14.28515625" style="384" customWidth="1"/>
    <col min="2572" max="2572" width="34.28515625" style="384" customWidth="1"/>
    <col min="2573" max="2816" width="9.140625" style="384"/>
    <col min="2817" max="2817" width="10" style="384" customWidth="1"/>
    <col min="2818" max="2819" width="11.42578125" style="384" customWidth="1"/>
    <col min="2820" max="2820" width="8.5703125" style="384" customWidth="1"/>
    <col min="2821" max="2821" width="14.28515625" style="384" customWidth="1"/>
    <col min="2822" max="2823" width="12.85546875" style="384" customWidth="1"/>
    <col min="2824" max="2826" width="17.140625" style="384" customWidth="1"/>
    <col min="2827" max="2827" width="14.28515625" style="384" customWidth="1"/>
    <col min="2828" max="2828" width="34.28515625" style="384" customWidth="1"/>
    <col min="2829" max="3072" width="9.140625" style="384"/>
    <col min="3073" max="3073" width="10" style="384" customWidth="1"/>
    <col min="3074" max="3075" width="11.42578125" style="384" customWidth="1"/>
    <col min="3076" max="3076" width="8.5703125" style="384" customWidth="1"/>
    <col min="3077" max="3077" width="14.28515625" style="384" customWidth="1"/>
    <col min="3078" max="3079" width="12.85546875" style="384" customWidth="1"/>
    <col min="3080" max="3082" width="17.140625" style="384" customWidth="1"/>
    <col min="3083" max="3083" width="14.28515625" style="384" customWidth="1"/>
    <col min="3084" max="3084" width="34.28515625" style="384" customWidth="1"/>
    <col min="3085" max="3328" width="9.140625" style="384"/>
    <col min="3329" max="3329" width="10" style="384" customWidth="1"/>
    <col min="3330" max="3331" width="11.42578125" style="384" customWidth="1"/>
    <col min="3332" max="3332" width="8.5703125" style="384" customWidth="1"/>
    <col min="3333" max="3333" width="14.28515625" style="384" customWidth="1"/>
    <col min="3334" max="3335" width="12.85546875" style="384" customWidth="1"/>
    <col min="3336" max="3338" width="17.140625" style="384" customWidth="1"/>
    <col min="3339" max="3339" width="14.28515625" style="384" customWidth="1"/>
    <col min="3340" max="3340" width="34.28515625" style="384" customWidth="1"/>
    <col min="3341" max="3584" width="9.140625" style="384"/>
    <col min="3585" max="3585" width="10" style="384" customWidth="1"/>
    <col min="3586" max="3587" width="11.42578125" style="384" customWidth="1"/>
    <col min="3588" max="3588" width="8.5703125" style="384" customWidth="1"/>
    <col min="3589" max="3589" width="14.28515625" style="384" customWidth="1"/>
    <col min="3590" max="3591" width="12.85546875" style="384" customWidth="1"/>
    <col min="3592" max="3594" width="17.140625" style="384" customWidth="1"/>
    <col min="3595" max="3595" width="14.28515625" style="384" customWidth="1"/>
    <col min="3596" max="3596" width="34.28515625" style="384" customWidth="1"/>
    <col min="3597" max="3840" width="9.140625" style="384"/>
    <col min="3841" max="3841" width="10" style="384" customWidth="1"/>
    <col min="3842" max="3843" width="11.42578125" style="384" customWidth="1"/>
    <col min="3844" max="3844" width="8.5703125" style="384" customWidth="1"/>
    <col min="3845" max="3845" width="14.28515625" style="384" customWidth="1"/>
    <col min="3846" max="3847" width="12.85546875" style="384" customWidth="1"/>
    <col min="3848" max="3850" width="17.140625" style="384" customWidth="1"/>
    <col min="3851" max="3851" width="14.28515625" style="384" customWidth="1"/>
    <col min="3852" max="3852" width="34.28515625" style="384" customWidth="1"/>
    <col min="3853" max="4096" width="9.140625" style="384"/>
    <col min="4097" max="4097" width="10" style="384" customWidth="1"/>
    <col min="4098" max="4099" width="11.42578125" style="384" customWidth="1"/>
    <col min="4100" max="4100" width="8.5703125" style="384" customWidth="1"/>
    <col min="4101" max="4101" width="14.28515625" style="384" customWidth="1"/>
    <col min="4102" max="4103" width="12.85546875" style="384" customWidth="1"/>
    <col min="4104" max="4106" width="17.140625" style="384" customWidth="1"/>
    <col min="4107" max="4107" width="14.28515625" style="384" customWidth="1"/>
    <col min="4108" max="4108" width="34.28515625" style="384" customWidth="1"/>
    <col min="4109" max="4352" width="9.140625" style="384"/>
    <col min="4353" max="4353" width="10" style="384" customWidth="1"/>
    <col min="4354" max="4355" width="11.42578125" style="384" customWidth="1"/>
    <col min="4356" max="4356" width="8.5703125" style="384" customWidth="1"/>
    <col min="4357" max="4357" width="14.28515625" style="384" customWidth="1"/>
    <col min="4358" max="4359" width="12.85546875" style="384" customWidth="1"/>
    <col min="4360" max="4362" width="17.140625" style="384" customWidth="1"/>
    <col min="4363" max="4363" width="14.28515625" style="384" customWidth="1"/>
    <col min="4364" max="4364" width="34.28515625" style="384" customWidth="1"/>
    <col min="4365" max="4608" width="9.140625" style="384"/>
    <col min="4609" max="4609" width="10" style="384" customWidth="1"/>
    <col min="4610" max="4611" width="11.42578125" style="384" customWidth="1"/>
    <col min="4612" max="4612" width="8.5703125" style="384" customWidth="1"/>
    <col min="4613" max="4613" width="14.28515625" style="384" customWidth="1"/>
    <col min="4614" max="4615" width="12.85546875" style="384" customWidth="1"/>
    <col min="4616" max="4618" width="17.140625" style="384" customWidth="1"/>
    <col min="4619" max="4619" width="14.28515625" style="384" customWidth="1"/>
    <col min="4620" max="4620" width="34.28515625" style="384" customWidth="1"/>
    <col min="4621" max="4864" width="9.140625" style="384"/>
    <col min="4865" max="4865" width="10" style="384" customWidth="1"/>
    <col min="4866" max="4867" width="11.42578125" style="384" customWidth="1"/>
    <col min="4868" max="4868" width="8.5703125" style="384" customWidth="1"/>
    <col min="4869" max="4869" width="14.28515625" style="384" customWidth="1"/>
    <col min="4870" max="4871" width="12.85546875" style="384" customWidth="1"/>
    <col min="4872" max="4874" width="17.140625" style="384" customWidth="1"/>
    <col min="4875" max="4875" width="14.28515625" style="384" customWidth="1"/>
    <col min="4876" max="4876" width="34.28515625" style="384" customWidth="1"/>
    <col min="4877" max="5120" width="9.140625" style="384"/>
    <col min="5121" max="5121" width="10" style="384" customWidth="1"/>
    <col min="5122" max="5123" width="11.42578125" style="384" customWidth="1"/>
    <col min="5124" max="5124" width="8.5703125" style="384" customWidth="1"/>
    <col min="5125" max="5125" width="14.28515625" style="384" customWidth="1"/>
    <col min="5126" max="5127" width="12.85546875" style="384" customWidth="1"/>
    <col min="5128" max="5130" width="17.140625" style="384" customWidth="1"/>
    <col min="5131" max="5131" width="14.28515625" style="384" customWidth="1"/>
    <col min="5132" max="5132" width="34.28515625" style="384" customWidth="1"/>
    <col min="5133" max="5376" width="9.140625" style="384"/>
    <col min="5377" max="5377" width="10" style="384" customWidth="1"/>
    <col min="5378" max="5379" width="11.42578125" style="384" customWidth="1"/>
    <col min="5380" max="5380" width="8.5703125" style="384" customWidth="1"/>
    <col min="5381" max="5381" width="14.28515625" style="384" customWidth="1"/>
    <col min="5382" max="5383" width="12.85546875" style="384" customWidth="1"/>
    <col min="5384" max="5386" width="17.140625" style="384" customWidth="1"/>
    <col min="5387" max="5387" width="14.28515625" style="384" customWidth="1"/>
    <col min="5388" max="5388" width="34.28515625" style="384" customWidth="1"/>
    <col min="5389" max="5632" width="9.140625" style="384"/>
    <col min="5633" max="5633" width="10" style="384" customWidth="1"/>
    <col min="5634" max="5635" width="11.42578125" style="384" customWidth="1"/>
    <col min="5636" max="5636" width="8.5703125" style="384" customWidth="1"/>
    <col min="5637" max="5637" width="14.28515625" style="384" customWidth="1"/>
    <col min="5638" max="5639" width="12.85546875" style="384" customWidth="1"/>
    <col min="5640" max="5642" width="17.140625" style="384" customWidth="1"/>
    <col min="5643" max="5643" width="14.28515625" style="384" customWidth="1"/>
    <col min="5644" max="5644" width="34.28515625" style="384" customWidth="1"/>
    <col min="5645" max="5888" width="9.140625" style="384"/>
    <col min="5889" max="5889" width="10" style="384" customWidth="1"/>
    <col min="5890" max="5891" width="11.42578125" style="384" customWidth="1"/>
    <col min="5892" max="5892" width="8.5703125" style="384" customWidth="1"/>
    <col min="5893" max="5893" width="14.28515625" style="384" customWidth="1"/>
    <col min="5894" max="5895" width="12.85546875" style="384" customWidth="1"/>
    <col min="5896" max="5898" width="17.140625" style="384" customWidth="1"/>
    <col min="5899" max="5899" width="14.28515625" style="384" customWidth="1"/>
    <col min="5900" max="5900" width="34.28515625" style="384" customWidth="1"/>
    <col min="5901" max="6144" width="9.140625" style="384"/>
    <col min="6145" max="6145" width="10" style="384" customWidth="1"/>
    <col min="6146" max="6147" width="11.42578125" style="384" customWidth="1"/>
    <col min="6148" max="6148" width="8.5703125" style="384" customWidth="1"/>
    <col min="6149" max="6149" width="14.28515625" style="384" customWidth="1"/>
    <col min="6150" max="6151" width="12.85546875" style="384" customWidth="1"/>
    <col min="6152" max="6154" width="17.140625" style="384" customWidth="1"/>
    <col min="6155" max="6155" width="14.28515625" style="384" customWidth="1"/>
    <col min="6156" max="6156" width="34.28515625" style="384" customWidth="1"/>
    <col min="6157" max="6400" width="9.140625" style="384"/>
    <col min="6401" max="6401" width="10" style="384" customWidth="1"/>
    <col min="6402" max="6403" width="11.42578125" style="384" customWidth="1"/>
    <col min="6404" max="6404" width="8.5703125" style="384" customWidth="1"/>
    <col min="6405" max="6405" width="14.28515625" style="384" customWidth="1"/>
    <col min="6406" max="6407" width="12.85546875" style="384" customWidth="1"/>
    <col min="6408" max="6410" width="17.140625" style="384" customWidth="1"/>
    <col min="6411" max="6411" width="14.28515625" style="384" customWidth="1"/>
    <col min="6412" max="6412" width="34.28515625" style="384" customWidth="1"/>
    <col min="6413" max="6656" width="9.140625" style="384"/>
    <col min="6657" max="6657" width="10" style="384" customWidth="1"/>
    <col min="6658" max="6659" width="11.42578125" style="384" customWidth="1"/>
    <col min="6660" max="6660" width="8.5703125" style="384" customWidth="1"/>
    <col min="6661" max="6661" width="14.28515625" style="384" customWidth="1"/>
    <col min="6662" max="6663" width="12.85546875" style="384" customWidth="1"/>
    <col min="6664" max="6666" width="17.140625" style="384" customWidth="1"/>
    <col min="6667" max="6667" width="14.28515625" style="384" customWidth="1"/>
    <col min="6668" max="6668" width="34.28515625" style="384" customWidth="1"/>
    <col min="6669" max="6912" width="9.140625" style="384"/>
    <col min="6913" max="6913" width="10" style="384" customWidth="1"/>
    <col min="6914" max="6915" width="11.42578125" style="384" customWidth="1"/>
    <col min="6916" max="6916" width="8.5703125" style="384" customWidth="1"/>
    <col min="6917" max="6917" width="14.28515625" style="384" customWidth="1"/>
    <col min="6918" max="6919" width="12.85546875" style="384" customWidth="1"/>
    <col min="6920" max="6922" width="17.140625" style="384" customWidth="1"/>
    <col min="6923" max="6923" width="14.28515625" style="384" customWidth="1"/>
    <col min="6924" max="6924" width="34.28515625" style="384" customWidth="1"/>
    <col min="6925" max="7168" width="9.140625" style="384"/>
    <col min="7169" max="7169" width="10" style="384" customWidth="1"/>
    <col min="7170" max="7171" width="11.42578125" style="384" customWidth="1"/>
    <col min="7172" max="7172" width="8.5703125" style="384" customWidth="1"/>
    <col min="7173" max="7173" width="14.28515625" style="384" customWidth="1"/>
    <col min="7174" max="7175" width="12.85546875" style="384" customWidth="1"/>
    <col min="7176" max="7178" width="17.140625" style="384" customWidth="1"/>
    <col min="7179" max="7179" width="14.28515625" style="384" customWidth="1"/>
    <col min="7180" max="7180" width="34.28515625" style="384" customWidth="1"/>
    <col min="7181" max="7424" width="9.140625" style="384"/>
    <col min="7425" max="7425" width="10" style="384" customWidth="1"/>
    <col min="7426" max="7427" width="11.42578125" style="384" customWidth="1"/>
    <col min="7428" max="7428" width="8.5703125" style="384" customWidth="1"/>
    <col min="7429" max="7429" width="14.28515625" style="384" customWidth="1"/>
    <col min="7430" max="7431" width="12.85546875" style="384" customWidth="1"/>
    <col min="7432" max="7434" width="17.140625" style="384" customWidth="1"/>
    <col min="7435" max="7435" width="14.28515625" style="384" customWidth="1"/>
    <col min="7436" max="7436" width="34.28515625" style="384" customWidth="1"/>
    <col min="7437" max="7680" width="9.140625" style="384"/>
    <col min="7681" max="7681" width="10" style="384" customWidth="1"/>
    <col min="7682" max="7683" width="11.42578125" style="384" customWidth="1"/>
    <col min="7684" max="7684" width="8.5703125" style="384" customWidth="1"/>
    <col min="7685" max="7685" width="14.28515625" style="384" customWidth="1"/>
    <col min="7686" max="7687" width="12.85546875" style="384" customWidth="1"/>
    <col min="7688" max="7690" width="17.140625" style="384" customWidth="1"/>
    <col min="7691" max="7691" width="14.28515625" style="384" customWidth="1"/>
    <col min="7692" max="7692" width="34.28515625" style="384" customWidth="1"/>
    <col min="7693" max="7936" width="9.140625" style="384"/>
    <col min="7937" max="7937" width="10" style="384" customWidth="1"/>
    <col min="7938" max="7939" width="11.42578125" style="384" customWidth="1"/>
    <col min="7940" max="7940" width="8.5703125" style="384" customWidth="1"/>
    <col min="7941" max="7941" width="14.28515625" style="384" customWidth="1"/>
    <col min="7942" max="7943" width="12.85546875" style="384" customWidth="1"/>
    <col min="7944" max="7946" width="17.140625" style="384" customWidth="1"/>
    <col min="7947" max="7947" width="14.28515625" style="384" customWidth="1"/>
    <col min="7948" max="7948" width="34.28515625" style="384" customWidth="1"/>
    <col min="7949" max="8192" width="9.140625" style="384"/>
    <col min="8193" max="8193" width="10" style="384" customWidth="1"/>
    <col min="8194" max="8195" width="11.42578125" style="384" customWidth="1"/>
    <col min="8196" max="8196" width="8.5703125" style="384" customWidth="1"/>
    <col min="8197" max="8197" width="14.28515625" style="384" customWidth="1"/>
    <col min="8198" max="8199" width="12.85546875" style="384" customWidth="1"/>
    <col min="8200" max="8202" width="17.140625" style="384" customWidth="1"/>
    <col min="8203" max="8203" width="14.28515625" style="384" customWidth="1"/>
    <col min="8204" max="8204" width="34.28515625" style="384" customWidth="1"/>
    <col min="8205" max="8448" width="9.140625" style="384"/>
    <col min="8449" max="8449" width="10" style="384" customWidth="1"/>
    <col min="8450" max="8451" width="11.42578125" style="384" customWidth="1"/>
    <col min="8452" max="8452" width="8.5703125" style="384" customWidth="1"/>
    <col min="8453" max="8453" width="14.28515625" style="384" customWidth="1"/>
    <col min="8454" max="8455" width="12.85546875" style="384" customWidth="1"/>
    <col min="8456" max="8458" width="17.140625" style="384" customWidth="1"/>
    <col min="8459" max="8459" width="14.28515625" style="384" customWidth="1"/>
    <col min="8460" max="8460" width="34.28515625" style="384" customWidth="1"/>
    <col min="8461" max="8704" width="9.140625" style="384"/>
    <col min="8705" max="8705" width="10" style="384" customWidth="1"/>
    <col min="8706" max="8707" width="11.42578125" style="384" customWidth="1"/>
    <col min="8708" max="8708" width="8.5703125" style="384" customWidth="1"/>
    <col min="8709" max="8709" width="14.28515625" style="384" customWidth="1"/>
    <col min="8710" max="8711" width="12.85546875" style="384" customWidth="1"/>
    <col min="8712" max="8714" width="17.140625" style="384" customWidth="1"/>
    <col min="8715" max="8715" width="14.28515625" style="384" customWidth="1"/>
    <col min="8716" max="8716" width="34.28515625" style="384" customWidth="1"/>
    <col min="8717" max="8960" width="9.140625" style="384"/>
    <col min="8961" max="8961" width="10" style="384" customWidth="1"/>
    <col min="8962" max="8963" width="11.42578125" style="384" customWidth="1"/>
    <col min="8964" max="8964" width="8.5703125" style="384" customWidth="1"/>
    <col min="8965" max="8965" width="14.28515625" style="384" customWidth="1"/>
    <col min="8966" max="8967" width="12.85546875" style="384" customWidth="1"/>
    <col min="8968" max="8970" width="17.140625" style="384" customWidth="1"/>
    <col min="8971" max="8971" width="14.28515625" style="384" customWidth="1"/>
    <col min="8972" max="8972" width="34.28515625" style="384" customWidth="1"/>
    <col min="8973" max="9216" width="9.140625" style="384"/>
    <col min="9217" max="9217" width="10" style="384" customWidth="1"/>
    <col min="9218" max="9219" width="11.42578125" style="384" customWidth="1"/>
    <col min="9220" max="9220" width="8.5703125" style="384" customWidth="1"/>
    <col min="9221" max="9221" width="14.28515625" style="384" customWidth="1"/>
    <col min="9222" max="9223" width="12.85546875" style="384" customWidth="1"/>
    <col min="9224" max="9226" width="17.140625" style="384" customWidth="1"/>
    <col min="9227" max="9227" width="14.28515625" style="384" customWidth="1"/>
    <col min="9228" max="9228" width="34.28515625" style="384" customWidth="1"/>
    <col min="9229" max="9472" width="9.140625" style="384"/>
    <col min="9473" max="9473" width="10" style="384" customWidth="1"/>
    <col min="9474" max="9475" width="11.42578125" style="384" customWidth="1"/>
    <col min="9476" max="9476" width="8.5703125" style="384" customWidth="1"/>
    <col min="9477" max="9477" width="14.28515625" style="384" customWidth="1"/>
    <col min="9478" max="9479" width="12.85546875" style="384" customWidth="1"/>
    <col min="9480" max="9482" width="17.140625" style="384" customWidth="1"/>
    <col min="9483" max="9483" width="14.28515625" style="384" customWidth="1"/>
    <col min="9484" max="9484" width="34.28515625" style="384" customWidth="1"/>
    <col min="9485" max="9728" width="9.140625" style="384"/>
    <col min="9729" max="9729" width="10" style="384" customWidth="1"/>
    <col min="9730" max="9731" width="11.42578125" style="384" customWidth="1"/>
    <col min="9732" max="9732" width="8.5703125" style="384" customWidth="1"/>
    <col min="9733" max="9733" width="14.28515625" style="384" customWidth="1"/>
    <col min="9734" max="9735" width="12.85546875" style="384" customWidth="1"/>
    <col min="9736" max="9738" width="17.140625" style="384" customWidth="1"/>
    <col min="9739" max="9739" width="14.28515625" style="384" customWidth="1"/>
    <col min="9740" max="9740" width="34.28515625" style="384" customWidth="1"/>
    <col min="9741" max="9984" width="9.140625" style="384"/>
    <col min="9985" max="9985" width="10" style="384" customWidth="1"/>
    <col min="9986" max="9987" width="11.42578125" style="384" customWidth="1"/>
    <col min="9988" max="9988" width="8.5703125" style="384" customWidth="1"/>
    <col min="9989" max="9989" width="14.28515625" style="384" customWidth="1"/>
    <col min="9990" max="9991" width="12.85546875" style="384" customWidth="1"/>
    <col min="9992" max="9994" width="17.140625" style="384" customWidth="1"/>
    <col min="9995" max="9995" width="14.28515625" style="384" customWidth="1"/>
    <col min="9996" max="9996" width="34.28515625" style="384" customWidth="1"/>
    <col min="9997" max="10240" width="9.140625" style="384"/>
    <col min="10241" max="10241" width="10" style="384" customWidth="1"/>
    <col min="10242" max="10243" width="11.42578125" style="384" customWidth="1"/>
    <col min="10244" max="10244" width="8.5703125" style="384" customWidth="1"/>
    <col min="10245" max="10245" width="14.28515625" style="384" customWidth="1"/>
    <col min="10246" max="10247" width="12.85546875" style="384" customWidth="1"/>
    <col min="10248" max="10250" width="17.140625" style="384" customWidth="1"/>
    <col min="10251" max="10251" width="14.28515625" style="384" customWidth="1"/>
    <col min="10252" max="10252" width="34.28515625" style="384" customWidth="1"/>
    <col min="10253" max="10496" width="9.140625" style="384"/>
    <col min="10497" max="10497" width="10" style="384" customWidth="1"/>
    <col min="10498" max="10499" width="11.42578125" style="384" customWidth="1"/>
    <col min="10500" max="10500" width="8.5703125" style="384" customWidth="1"/>
    <col min="10501" max="10501" width="14.28515625" style="384" customWidth="1"/>
    <col min="10502" max="10503" width="12.85546875" style="384" customWidth="1"/>
    <col min="10504" max="10506" width="17.140625" style="384" customWidth="1"/>
    <col min="10507" max="10507" width="14.28515625" style="384" customWidth="1"/>
    <col min="10508" max="10508" width="34.28515625" style="384" customWidth="1"/>
    <col min="10509" max="10752" width="9.140625" style="384"/>
    <col min="10753" max="10753" width="10" style="384" customWidth="1"/>
    <col min="10754" max="10755" width="11.42578125" style="384" customWidth="1"/>
    <col min="10756" max="10756" width="8.5703125" style="384" customWidth="1"/>
    <col min="10757" max="10757" width="14.28515625" style="384" customWidth="1"/>
    <col min="10758" max="10759" width="12.85546875" style="384" customWidth="1"/>
    <col min="10760" max="10762" width="17.140625" style="384" customWidth="1"/>
    <col min="10763" max="10763" width="14.28515625" style="384" customWidth="1"/>
    <col min="10764" max="10764" width="34.28515625" style="384" customWidth="1"/>
    <col min="10765" max="11008" width="9.140625" style="384"/>
    <col min="11009" max="11009" width="10" style="384" customWidth="1"/>
    <col min="11010" max="11011" width="11.42578125" style="384" customWidth="1"/>
    <col min="11012" max="11012" width="8.5703125" style="384" customWidth="1"/>
    <col min="11013" max="11013" width="14.28515625" style="384" customWidth="1"/>
    <col min="11014" max="11015" width="12.85546875" style="384" customWidth="1"/>
    <col min="11016" max="11018" width="17.140625" style="384" customWidth="1"/>
    <col min="11019" max="11019" width="14.28515625" style="384" customWidth="1"/>
    <col min="11020" max="11020" width="34.28515625" style="384" customWidth="1"/>
    <col min="11021" max="11264" width="9.140625" style="384"/>
    <col min="11265" max="11265" width="10" style="384" customWidth="1"/>
    <col min="11266" max="11267" width="11.42578125" style="384" customWidth="1"/>
    <col min="11268" max="11268" width="8.5703125" style="384" customWidth="1"/>
    <col min="11269" max="11269" width="14.28515625" style="384" customWidth="1"/>
    <col min="11270" max="11271" width="12.85546875" style="384" customWidth="1"/>
    <col min="11272" max="11274" width="17.140625" style="384" customWidth="1"/>
    <col min="11275" max="11275" width="14.28515625" style="384" customWidth="1"/>
    <col min="11276" max="11276" width="34.28515625" style="384" customWidth="1"/>
    <col min="11277" max="11520" width="9.140625" style="384"/>
    <col min="11521" max="11521" width="10" style="384" customWidth="1"/>
    <col min="11522" max="11523" width="11.42578125" style="384" customWidth="1"/>
    <col min="11524" max="11524" width="8.5703125" style="384" customWidth="1"/>
    <col min="11525" max="11525" width="14.28515625" style="384" customWidth="1"/>
    <col min="11526" max="11527" width="12.85546875" style="384" customWidth="1"/>
    <col min="11528" max="11530" width="17.140625" style="384" customWidth="1"/>
    <col min="11531" max="11531" width="14.28515625" style="384" customWidth="1"/>
    <col min="11532" max="11532" width="34.28515625" style="384" customWidth="1"/>
    <col min="11533" max="11776" width="9.140625" style="384"/>
    <col min="11777" max="11777" width="10" style="384" customWidth="1"/>
    <col min="11778" max="11779" width="11.42578125" style="384" customWidth="1"/>
    <col min="11780" max="11780" width="8.5703125" style="384" customWidth="1"/>
    <col min="11781" max="11781" width="14.28515625" style="384" customWidth="1"/>
    <col min="11782" max="11783" width="12.85546875" style="384" customWidth="1"/>
    <col min="11784" max="11786" width="17.140625" style="384" customWidth="1"/>
    <col min="11787" max="11787" width="14.28515625" style="384" customWidth="1"/>
    <col min="11788" max="11788" width="34.28515625" style="384" customWidth="1"/>
    <col min="11789" max="12032" width="9.140625" style="384"/>
    <col min="12033" max="12033" width="10" style="384" customWidth="1"/>
    <col min="12034" max="12035" width="11.42578125" style="384" customWidth="1"/>
    <col min="12036" max="12036" width="8.5703125" style="384" customWidth="1"/>
    <col min="12037" max="12037" width="14.28515625" style="384" customWidth="1"/>
    <col min="12038" max="12039" width="12.85546875" style="384" customWidth="1"/>
    <col min="12040" max="12042" width="17.140625" style="384" customWidth="1"/>
    <col min="12043" max="12043" width="14.28515625" style="384" customWidth="1"/>
    <col min="12044" max="12044" width="34.28515625" style="384" customWidth="1"/>
    <col min="12045" max="12288" width="9.140625" style="384"/>
    <col min="12289" max="12289" width="10" style="384" customWidth="1"/>
    <col min="12290" max="12291" width="11.42578125" style="384" customWidth="1"/>
    <col min="12292" max="12292" width="8.5703125" style="384" customWidth="1"/>
    <col min="12293" max="12293" width="14.28515625" style="384" customWidth="1"/>
    <col min="12294" max="12295" width="12.85546875" style="384" customWidth="1"/>
    <col min="12296" max="12298" width="17.140625" style="384" customWidth="1"/>
    <col min="12299" max="12299" width="14.28515625" style="384" customWidth="1"/>
    <col min="12300" max="12300" width="34.28515625" style="384" customWidth="1"/>
    <col min="12301" max="12544" width="9.140625" style="384"/>
    <col min="12545" max="12545" width="10" style="384" customWidth="1"/>
    <col min="12546" max="12547" width="11.42578125" style="384" customWidth="1"/>
    <col min="12548" max="12548" width="8.5703125" style="384" customWidth="1"/>
    <col min="12549" max="12549" width="14.28515625" style="384" customWidth="1"/>
    <col min="12550" max="12551" width="12.85546875" style="384" customWidth="1"/>
    <col min="12552" max="12554" width="17.140625" style="384" customWidth="1"/>
    <col min="12555" max="12555" width="14.28515625" style="384" customWidth="1"/>
    <col min="12556" max="12556" width="34.28515625" style="384" customWidth="1"/>
    <col min="12557" max="12800" width="9.140625" style="384"/>
    <col min="12801" max="12801" width="10" style="384" customWidth="1"/>
    <col min="12802" max="12803" width="11.42578125" style="384" customWidth="1"/>
    <col min="12804" max="12804" width="8.5703125" style="384" customWidth="1"/>
    <col min="12805" max="12805" width="14.28515625" style="384" customWidth="1"/>
    <col min="12806" max="12807" width="12.85546875" style="384" customWidth="1"/>
    <col min="12808" max="12810" width="17.140625" style="384" customWidth="1"/>
    <col min="12811" max="12811" width="14.28515625" style="384" customWidth="1"/>
    <col min="12812" max="12812" width="34.28515625" style="384" customWidth="1"/>
    <col min="12813" max="13056" width="9.140625" style="384"/>
    <col min="13057" max="13057" width="10" style="384" customWidth="1"/>
    <col min="13058" max="13059" width="11.42578125" style="384" customWidth="1"/>
    <col min="13060" max="13060" width="8.5703125" style="384" customWidth="1"/>
    <col min="13061" max="13061" width="14.28515625" style="384" customWidth="1"/>
    <col min="13062" max="13063" width="12.85546875" style="384" customWidth="1"/>
    <col min="13064" max="13066" width="17.140625" style="384" customWidth="1"/>
    <col min="13067" max="13067" width="14.28515625" style="384" customWidth="1"/>
    <col min="13068" max="13068" width="34.28515625" style="384" customWidth="1"/>
    <col min="13069" max="13312" width="9.140625" style="384"/>
    <col min="13313" max="13313" width="10" style="384" customWidth="1"/>
    <col min="13314" max="13315" width="11.42578125" style="384" customWidth="1"/>
    <col min="13316" max="13316" width="8.5703125" style="384" customWidth="1"/>
    <col min="13317" max="13317" width="14.28515625" style="384" customWidth="1"/>
    <col min="13318" max="13319" width="12.85546875" style="384" customWidth="1"/>
    <col min="13320" max="13322" width="17.140625" style="384" customWidth="1"/>
    <col min="13323" max="13323" width="14.28515625" style="384" customWidth="1"/>
    <col min="13324" max="13324" width="34.28515625" style="384" customWidth="1"/>
    <col min="13325" max="13568" width="9.140625" style="384"/>
    <col min="13569" max="13569" width="10" style="384" customWidth="1"/>
    <col min="13570" max="13571" width="11.42578125" style="384" customWidth="1"/>
    <col min="13572" max="13572" width="8.5703125" style="384" customWidth="1"/>
    <col min="13573" max="13573" width="14.28515625" style="384" customWidth="1"/>
    <col min="13574" max="13575" width="12.85546875" style="384" customWidth="1"/>
    <col min="13576" max="13578" width="17.140625" style="384" customWidth="1"/>
    <col min="13579" max="13579" width="14.28515625" style="384" customWidth="1"/>
    <col min="13580" max="13580" width="34.28515625" style="384" customWidth="1"/>
    <col min="13581" max="13824" width="9.140625" style="384"/>
    <col min="13825" max="13825" width="10" style="384" customWidth="1"/>
    <col min="13826" max="13827" width="11.42578125" style="384" customWidth="1"/>
    <col min="13828" max="13828" width="8.5703125" style="384" customWidth="1"/>
    <col min="13829" max="13829" width="14.28515625" style="384" customWidth="1"/>
    <col min="13830" max="13831" width="12.85546875" style="384" customWidth="1"/>
    <col min="13832" max="13834" width="17.140625" style="384" customWidth="1"/>
    <col min="13835" max="13835" width="14.28515625" style="384" customWidth="1"/>
    <col min="13836" max="13836" width="34.28515625" style="384" customWidth="1"/>
    <col min="13837" max="14080" width="9.140625" style="384"/>
    <col min="14081" max="14081" width="10" style="384" customWidth="1"/>
    <col min="14082" max="14083" width="11.42578125" style="384" customWidth="1"/>
    <col min="14084" max="14084" width="8.5703125" style="384" customWidth="1"/>
    <col min="14085" max="14085" width="14.28515625" style="384" customWidth="1"/>
    <col min="14086" max="14087" width="12.85546875" style="384" customWidth="1"/>
    <col min="14088" max="14090" width="17.140625" style="384" customWidth="1"/>
    <col min="14091" max="14091" width="14.28515625" style="384" customWidth="1"/>
    <col min="14092" max="14092" width="34.28515625" style="384" customWidth="1"/>
    <col min="14093" max="14336" width="9.140625" style="384"/>
    <col min="14337" max="14337" width="10" style="384" customWidth="1"/>
    <col min="14338" max="14339" width="11.42578125" style="384" customWidth="1"/>
    <col min="14340" max="14340" width="8.5703125" style="384" customWidth="1"/>
    <col min="14341" max="14341" width="14.28515625" style="384" customWidth="1"/>
    <col min="14342" max="14343" width="12.85546875" style="384" customWidth="1"/>
    <col min="14344" max="14346" width="17.140625" style="384" customWidth="1"/>
    <col min="14347" max="14347" width="14.28515625" style="384" customWidth="1"/>
    <col min="14348" max="14348" width="34.28515625" style="384" customWidth="1"/>
    <col min="14349" max="14592" width="9.140625" style="384"/>
    <col min="14593" max="14593" width="10" style="384" customWidth="1"/>
    <col min="14594" max="14595" width="11.42578125" style="384" customWidth="1"/>
    <col min="14596" max="14596" width="8.5703125" style="384" customWidth="1"/>
    <col min="14597" max="14597" width="14.28515625" style="384" customWidth="1"/>
    <col min="14598" max="14599" width="12.85546875" style="384" customWidth="1"/>
    <col min="14600" max="14602" width="17.140625" style="384" customWidth="1"/>
    <col min="14603" max="14603" width="14.28515625" style="384" customWidth="1"/>
    <col min="14604" max="14604" width="34.28515625" style="384" customWidth="1"/>
    <col min="14605" max="14848" width="9.140625" style="384"/>
    <col min="14849" max="14849" width="10" style="384" customWidth="1"/>
    <col min="14850" max="14851" width="11.42578125" style="384" customWidth="1"/>
    <col min="14852" max="14852" width="8.5703125" style="384" customWidth="1"/>
    <col min="14853" max="14853" width="14.28515625" style="384" customWidth="1"/>
    <col min="14854" max="14855" width="12.85546875" style="384" customWidth="1"/>
    <col min="14856" max="14858" width="17.140625" style="384" customWidth="1"/>
    <col min="14859" max="14859" width="14.28515625" style="384" customWidth="1"/>
    <col min="14860" max="14860" width="34.28515625" style="384" customWidth="1"/>
    <col min="14861" max="15104" width="9.140625" style="384"/>
    <col min="15105" max="15105" width="10" style="384" customWidth="1"/>
    <col min="15106" max="15107" width="11.42578125" style="384" customWidth="1"/>
    <col min="15108" max="15108" width="8.5703125" style="384" customWidth="1"/>
    <col min="15109" max="15109" width="14.28515625" style="384" customWidth="1"/>
    <col min="15110" max="15111" width="12.85546875" style="384" customWidth="1"/>
    <col min="15112" max="15114" width="17.140625" style="384" customWidth="1"/>
    <col min="15115" max="15115" width="14.28515625" style="384" customWidth="1"/>
    <col min="15116" max="15116" width="34.28515625" style="384" customWidth="1"/>
    <col min="15117" max="15360" width="9.140625" style="384"/>
    <col min="15361" max="15361" width="10" style="384" customWidth="1"/>
    <col min="15362" max="15363" width="11.42578125" style="384" customWidth="1"/>
    <col min="15364" max="15364" width="8.5703125" style="384" customWidth="1"/>
    <col min="15365" max="15365" width="14.28515625" style="384" customWidth="1"/>
    <col min="15366" max="15367" width="12.85546875" style="384" customWidth="1"/>
    <col min="15368" max="15370" width="17.140625" style="384" customWidth="1"/>
    <col min="15371" max="15371" width="14.28515625" style="384" customWidth="1"/>
    <col min="15372" max="15372" width="34.28515625" style="384" customWidth="1"/>
    <col min="15373" max="15616" width="9.140625" style="384"/>
    <col min="15617" max="15617" width="10" style="384" customWidth="1"/>
    <col min="15618" max="15619" width="11.42578125" style="384" customWidth="1"/>
    <col min="15620" max="15620" width="8.5703125" style="384" customWidth="1"/>
    <col min="15621" max="15621" width="14.28515625" style="384" customWidth="1"/>
    <col min="15622" max="15623" width="12.85546875" style="384" customWidth="1"/>
    <col min="15624" max="15626" width="17.140625" style="384" customWidth="1"/>
    <col min="15627" max="15627" width="14.28515625" style="384" customWidth="1"/>
    <col min="15628" max="15628" width="34.28515625" style="384" customWidth="1"/>
    <col min="15629" max="15872" width="9.140625" style="384"/>
    <col min="15873" max="15873" width="10" style="384" customWidth="1"/>
    <col min="15874" max="15875" width="11.42578125" style="384" customWidth="1"/>
    <col min="15876" max="15876" width="8.5703125" style="384" customWidth="1"/>
    <col min="15877" max="15877" width="14.28515625" style="384" customWidth="1"/>
    <col min="15878" max="15879" width="12.85546875" style="384" customWidth="1"/>
    <col min="15880" max="15882" width="17.140625" style="384" customWidth="1"/>
    <col min="15883" max="15883" width="14.28515625" style="384" customWidth="1"/>
    <col min="15884" max="15884" width="34.28515625" style="384" customWidth="1"/>
    <col min="15885" max="16128" width="9.140625" style="384"/>
    <col min="16129" max="16129" width="10" style="384" customWidth="1"/>
    <col min="16130" max="16131" width="11.42578125" style="384" customWidth="1"/>
    <col min="16132" max="16132" width="8.5703125" style="384" customWidth="1"/>
    <col min="16133" max="16133" width="14.28515625" style="384" customWidth="1"/>
    <col min="16134" max="16135" width="12.85546875" style="384" customWidth="1"/>
    <col min="16136" max="16138" width="17.140625" style="384" customWidth="1"/>
    <col min="16139" max="16139" width="14.28515625" style="384" customWidth="1"/>
    <col min="16140" max="16140" width="34.28515625" style="384" customWidth="1"/>
    <col min="16141" max="16384" width="9.140625" style="384"/>
  </cols>
  <sheetData>
    <row r="1" spans="1:12" s="393" customFormat="1" ht="25.5">
      <c r="A1" s="392" t="s">
        <v>2</v>
      </c>
      <c r="B1" s="392" t="s">
        <v>3</v>
      </c>
      <c r="C1" s="392" t="s">
        <v>369</v>
      </c>
      <c r="D1" s="392" t="s">
        <v>370</v>
      </c>
      <c r="E1" s="392" t="s">
        <v>371</v>
      </c>
      <c r="F1" s="392" t="s">
        <v>372</v>
      </c>
      <c r="G1" s="392" t="s">
        <v>373</v>
      </c>
      <c r="H1" s="392" t="s">
        <v>374</v>
      </c>
      <c r="I1" s="392" t="s">
        <v>375</v>
      </c>
      <c r="J1" s="392" t="s">
        <v>376</v>
      </c>
      <c r="K1" s="392" t="s">
        <v>377</v>
      </c>
      <c r="L1" s="392" t="s">
        <v>378</v>
      </c>
    </row>
    <row r="2" spans="1:12" ht="25.5" hidden="1">
      <c r="A2" s="385" t="s">
        <v>384</v>
      </c>
      <c r="B2" s="385" t="s">
        <v>368</v>
      </c>
      <c r="C2" s="385" t="s">
        <v>447</v>
      </c>
      <c r="D2" s="385" t="s">
        <v>380</v>
      </c>
      <c r="E2" s="385" t="s">
        <v>381</v>
      </c>
      <c r="F2" s="385" t="s">
        <v>389</v>
      </c>
      <c r="G2" s="385" t="s">
        <v>19</v>
      </c>
      <c r="H2" s="386">
        <v>1550000.01</v>
      </c>
      <c r="I2" s="386">
        <v>0</v>
      </c>
      <c r="J2" s="386">
        <v>1574129.25</v>
      </c>
      <c r="K2" s="386">
        <v>0</v>
      </c>
      <c r="L2" s="387" t="s">
        <v>390</v>
      </c>
    </row>
    <row r="3" spans="1:12" hidden="1">
      <c r="A3" s="385" t="s">
        <v>384</v>
      </c>
      <c r="B3" s="385" t="s">
        <v>368</v>
      </c>
      <c r="C3" s="385" t="s">
        <v>385</v>
      </c>
      <c r="D3" s="385" t="s">
        <v>397</v>
      </c>
      <c r="E3" s="385" t="s">
        <v>381</v>
      </c>
      <c r="F3" s="385" t="s">
        <v>386</v>
      </c>
      <c r="G3" s="385" t="s">
        <v>19</v>
      </c>
      <c r="H3" s="386">
        <v>0</v>
      </c>
      <c r="I3" s="386">
        <v>0</v>
      </c>
      <c r="J3" s="386">
        <v>224</v>
      </c>
      <c r="K3" s="386">
        <v>0</v>
      </c>
      <c r="L3" s="387" t="s">
        <v>387</v>
      </c>
    </row>
    <row r="4" spans="1:12" ht="25.5" hidden="1">
      <c r="A4" s="385" t="s">
        <v>384</v>
      </c>
      <c r="B4" s="385" t="s">
        <v>368</v>
      </c>
      <c r="C4" s="385" t="s">
        <v>413</v>
      </c>
      <c r="D4" s="385" t="s">
        <v>397</v>
      </c>
      <c r="E4" s="385" t="s">
        <v>381</v>
      </c>
      <c r="F4" s="385" t="s">
        <v>410</v>
      </c>
      <c r="G4" s="385" t="s">
        <v>19</v>
      </c>
      <c r="H4" s="386">
        <v>0</v>
      </c>
      <c r="I4" s="386">
        <v>0</v>
      </c>
      <c r="J4" s="386">
        <v>1659.72</v>
      </c>
      <c r="K4" s="386">
        <v>0</v>
      </c>
      <c r="L4" s="387" t="s">
        <v>411</v>
      </c>
    </row>
    <row r="5" spans="1:12" ht="25.5" hidden="1">
      <c r="A5" s="385" t="s">
        <v>384</v>
      </c>
      <c r="B5" s="385" t="s">
        <v>368</v>
      </c>
      <c r="C5" s="385" t="s">
        <v>413</v>
      </c>
      <c r="D5" s="385" t="s">
        <v>397</v>
      </c>
      <c r="E5" s="385" t="s">
        <v>381</v>
      </c>
      <c r="F5" s="385" t="s">
        <v>392</v>
      </c>
      <c r="G5" s="385" t="s">
        <v>19</v>
      </c>
      <c r="H5" s="386">
        <v>0</v>
      </c>
      <c r="I5" s="386">
        <v>0</v>
      </c>
      <c r="J5" s="386">
        <v>11618.04</v>
      </c>
      <c r="K5" s="386">
        <v>0</v>
      </c>
      <c r="L5" s="387" t="s">
        <v>393</v>
      </c>
    </row>
    <row r="6" spans="1:12" ht="25.5" hidden="1">
      <c r="A6" s="385" t="s">
        <v>384</v>
      </c>
      <c r="B6" s="385" t="s">
        <v>368</v>
      </c>
      <c r="C6" s="385" t="s">
        <v>388</v>
      </c>
      <c r="D6" s="385" t="s">
        <v>380</v>
      </c>
      <c r="E6" s="385" t="s">
        <v>381</v>
      </c>
      <c r="F6" s="385" t="s">
        <v>389</v>
      </c>
      <c r="G6" s="385" t="s">
        <v>19</v>
      </c>
      <c r="H6" s="386">
        <v>0</v>
      </c>
      <c r="I6" s="386">
        <v>0</v>
      </c>
      <c r="J6" s="386">
        <v>4500.6000000000004</v>
      </c>
      <c r="K6" s="386">
        <v>0</v>
      </c>
      <c r="L6" s="387" t="s">
        <v>390</v>
      </c>
    </row>
    <row r="7" spans="1:12" hidden="1">
      <c r="A7" s="385" t="s">
        <v>384</v>
      </c>
      <c r="B7" s="385" t="s">
        <v>368</v>
      </c>
      <c r="C7" s="385" t="s">
        <v>391</v>
      </c>
      <c r="D7" s="385" t="s">
        <v>397</v>
      </c>
      <c r="E7" s="385" t="s">
        <v>381</v>
      </c>
      <c r="F7" s="385" t="s">
        <v>386</v>
      </c>
      <c r="G7" s="385" t="s">
        <v>19</v>
      </c>
      <c r="H7" s="386">
        <v>0</v>
      </c>
      <c r="I7" s="386">
        <v>0</v>
      </c>
      <c r="J7" s="386">
        <v>1837.07</v>
      </c>
      <c r="K7" s="386">
        <v>0</v>
      </c>
      <c r="L7" s="387" t="s">
        <v>387</v>
      </c>
    </row>
    <row r="8" spans="1:12" ht="25.5" hidden="1">
      <c r="A8" s="385" t="s">
        <v>384</v>
      </c>
      <c r="B8" s="385" t="s">
        <v>368</v>
      </c>
      <c r="C8" s="385" t="s">
        <v>395</v>
      </c>
      <c r="D8" s="385" t="s">
        <v>380</v>
      </c>
      <c r="E8" s="385" t="s">
        <v>381</v>
      </c>
      <c r="F8" s="385" t="s">
        <v>389</v>
      </c>
      <c r="G8" s="385" t="s">
        <v>19</v>
      </c>
      <c r="H8" s="386">
        <v>0</v>
      </c>
      <c r="I8" s="386">
        <v>0</v>
      </c>
      <c r="J8" s="386">
        <v>0</v>
      </c>
      <c r="K8" s="386">
        <v>0</v>
      </c>
      <c r="L8" s="387" t="s">
        <v>390</v>
      </c>
    </row>
    <row r="9" spans="1:12" ht="38.25" hidden="1">
      <c r="A9" s="385" t="s">
        <v>384</v>
      </c>
      <c r="B9" s="385" t="s">
        <v>368</v>
      </c>
      <c r="C9" s="385" t="s">
        <v>398</v>
      </c>
      <c r="D9" s="385" t="s">
        <v>380</v>
      </c>
      <c r="E9" s="385" t="s">
        <v>381</v>
      </c>
      <c r="F9" s="385" t="s">
        <v>697</v>
      </c>
      <c r="G9" s="385" t="s">
        <v>19</v>
      </c>
      <c r="H9" s="386">
        <v>3528446.29</v>
      </c>
      <c r="I9" s="386">
        <v>0</v>
      </c>
      <c r="J9" s="386">
        <v>852471.55</v>
      </c>
      <c r="K9" s="386">
        <v>0</v>
      </c>
      <c r="L9" s="387" t="s">
        <v>739</v>
      </c>
    </row>
    <row r="10" spans="1:12" ht="38.25" hidden="1">
      <c r="A10" s="385" t="s">
        <v>384</v>
      </c>
      <c r="B10" s="385" t="s">
        <v>368</v>
      </c>
      <c r="C10" s="385" t="s">
        <v>399</v>
      </c>
      <c r="D10" s="385" t="s">
        <v>380</v>
      </c>
      <c r="E10" s="385" t="s">
        <v>381</v>
      </c>
      <c r="F10" s="385" t="s">
        <v>697</v>
      </c>
      <c r="G10" s="385" t="s">
        <v>19</v>
      </c>
      <c r="H10" s="386">
        <v>1764223.14</v>
      </c>
      <c r="I10" s="386">
        <v>0</v>
      </c>
      <c r="J10" s="386">
        <v>0</v>
      </c>
      <c r="K10" s="386">
        <v>0</v>
      </c>
      <c r="L10" s="387" t="s">
        <v>739</v>
      </c>
    </row>
    <row r="11" spans="1:12" hidden="1">
      <c r="A11" s="385" t="s">
        <v>384</v>
      </c>
      <c r="B11" s="385" t="s">
        <v>368</v>
      </c>
      <c r="C11" s="385" t="s">
        <v>399</v>
      </c>
      <c r="D11" s="385" t="s">
        <v>380</v>
      </c>
      <c r="E11" s="385" t="s">
        <v>381</v>
      </c>
      <c r="F11" s="385" t="s">
        <v>382</v>
      </c>
      <c r="G11" s="385" t="s">
        <v>19</v>
      </c>
      <c r="H11" s="386">
        <v>46494</v>
      </c>
      <c r="I11" s="386">
        <v>0</v>
      </c>
      <c r="J11" s="386">
        <v>0</v>
      </c>
      <c r="K11" s="386">
        <v>0</v>
      </c>
      <c r="L11" s="387" t="s">
        <v>383</v>
      </c>
    </row>
    <row r="12" spans="1:12" ht="25.5" hidden="1">
      <c r="A12" s="385" t="s">
        <v>384</v>
      </c>
      <c r="B12" s="385" t="s">
        <v>238</v>
      </c>
      <c r="C12" s="385" t="s">
        <v>406</v>
      </c>
      <c r="D12" s="385" t="s">
        <v>380</v>
      </c>
      <c r="E12" s="385" t="s">
        <v>381</v>
      </c>
      <c r="F12" s="385" t="s">
        <v>389</v>
      </c>
      <c r="G12" s="385" t="s">
        <v>19</v>
      </c>
      <c r="H12" s="386">
        <v>4000</v>
      </c>
      <c r="I12" s="386">
        <v>0</v>
      </c>
      <c r="J12" s="386">
        <v>3355.3</v>
      </c>
      <c r="K12" s="386">
        <v>0</v>
      </c>
      <c r="L12" s="387" t="s">
        <v>390</v>
      </c>
    </row>
    <row r="13" spans="1:12" ht="25.5" hidden="1">
      <c r="A13" s="385" t="s">
        <v>407</v>
      </c>
      <c r="B13" s="385" t="s">
        <v>408</v>
      </c>
      <c r="C13" s="385" t="s">
        <v>409</v>
      </c>
      <c r="D13" s="385" t="s">
        <v>380</v>
      </c>
      <c r="E13" s="385" t="s">
        <v>381</v>
      </c>
      <c r="F13" s="385" t="s">
        <v>410</v>
      </c>
      <c r="G13" s="385" t="s">
        <v>19</v>
      </c>
      <c r="H13" s="386">
        <v>1450</v>
      </c>
      <c r="I13" s="386">
        <v>0</v>
      </c>
      <c r="J13" s="386">
        <v>1673.19</v>
      </c>
      <c r="K13" s="386">
        <v>0</v>
      </c>
      <c r="L13" s="387" t="s">
        <v>411</v>
      </c>
    </row>
    <row r="14" spans="1:12" ht="25.5" hidden="1">
      <c r="A14" s="385" t="s">
        <v>407</v>
      </c>
      <c r="B14" s="385" t="s">
        <v>408</v>
      </c>
      <c r="C14" s="385" t="s">
        <v>412</v>
      </c>
      <c r="D14" s="385" t="s">
        <v>380</v>
      </c>
      <c r="E14" s="385" t="s">
        <v>381</v>
      </c>
      <c r="F14" s="385" t="s">
        <v>410</v>
      </c>
      <c r="G14" s="385" t="s">
        <v>19</v>
      </c>
      <c r="H14" s="386">
        <v>0</v>
      </c>
      <c r="I14" s="386">
        <v>0</v>
      </c>
      <c r="J14" s="386">
        <v>0</v>
      </c>
      <c r="K14" s="386">
        <v>0</v>
      </c>
      <c r="L14" s="387" t="s">
        <v>411</v>
      </c>
    </row>
    <row r="15" spans="1:12" ht="25.5" hidden="1">
      <c r="A15" s="385" t="s">
        <v>407</v>
      </c>
      <c r="B15" s="385" t="s">
        <v>408</v>
      </c>
      <c r="C15" s="385" t="s">
        <v>385</v>
      </c>
      <c r="D15" s="385" t="s">
        <v>380</v>
      </c>
      <c r="E15" s="385" t="s">
        <v>381</v>
      </c>
      <c r="F15" s="385" t="s">
        <v>410</v>
      </c>
      <c r="G15" s="385" t="s">
        <v>19</v>
      </c>
      <c r="H15" s="386">
        <v>0</v>
      </c>
      <c r="I15" s="386">
        <v>0</v>
      </c>
      <c r="J15" s="386">
        <v>0</v>
      </c>
      <c r="K15" s="386">
        <v>0</v>
      </c>
      <c r="L15" s="387" t="s">
        <v>411</v>
      </c>
    </row>
    <row r="16" spans="1:12" ht="25.5" hidden="1">
      <c r="A16" s="385" t="s">
        <v>407</v>
      </c>
      <c r="B16" s="385" t="s">
        <v>408</v>
      </c>
      <c r="C16" s="385" t="s">
        <v>413</v>
      </c>
      <c r="D16" s="385" t="s">
        <v>380</v>
      </c>
      <c r="E16" s="385" t="s">
        <v>381</v>
      </c>
      <c r="F16" s="385" t="s">
        <v>410</v>
      </c>
      <c r="G16" s="385" t="s">
        <v>19</v>
      </c>
      <c r="H16" s="386">
        <v>250000</v>
      </c>
      <c r="I16" s="386">
        <v>0</v>
      </c>
      <c r="J16" s="386">
        <v>94699.22</v>
      </c>
      <c r="K16" s="386">
        <v>0</v>
      </c>
      <c r="L16" s="387" t="s">
        <v>411</v>
      </c>
    </row>
    <row r="17" spans="1:12" ht="25.5" hidden="1">
      <c r="A17" s="385" t="s">
        <v>407</v>
      </c>
      <c r="B17" s="385" t="s">
        <v>408</v>
      </c>
      <c r="C17" s="385" t="s">
        <v>414</v>
      </c>
      <c r="D17" s="385" t="s">
        <v>380</v>
      </c>
      <c r="E17" s="385" t="s">
        <v>381</v>
      </c>
      <c r="F17" s="385" t="s">
        <v>410</v>
      </c>
      <c r="G17" s="385" t="s">
        <v>19</v>
      </c>
      <c r="H17" s="386">
        <v>370000</v>
      </c>
      <c r="I17" s="386">
        <v>0</v>
      </c>
      <c r="J17" s="386">
        <v>121200</v>
      </c>
      <c r="K17" s="386">
        <v>0</v>
      </c>
      <c r="L17" s="387" t="s">
        <v>411</v>
      </c>
    </row>
    <row r="18" spans="1:12" ht="25.5" hidden="1">
      <c r="A18" s="385" t="s">
        <v>407</v>
      </c>
      <c r="B18" s="385" t="s">
        <v>408</v>
      </c>
      <c r="C18" s="385" t="s">
        <v>740</v>
      </c>
      <c r="D18" s="385" t="s">
        <v>397</v>
      </c>
      <c r="E18" s="385" t="s">
        <v>381</v>
      </c>
      <c r="F18" s="385" t="s">
        <v>410</v>
      </c>
      <c r="G18" s="385" t="s">
        <v>19</v>
      </c>
      <c r="H18" s="386">
        <v>0</v>
      </c>
      <c r="I18" s="386">
        <v>0</v>
      </c>
      <c r="J18" s="386">
        <v>0</v>
      </c>
      <c r="K18" s="386">
        <v>0</v>
      </c>
      <c r="L18" s="387" t="s">
        <v>411</v>
      </c>
    </row>
    <row r="19" spans="1:12" hidden="1">
      <c r="A19" s="385" t="s">
        <v>407</v>
      </c>
      <c r="B19" s="385" t="s">
        <v>408</v>
      </c>
      <c r="C19" s="385" t="s">
        <v>391</v>
      </c>
      <c r="D19" s="385" t="s">
        <v>397</v>
      </c>
      <c r="E19" s="385" t="s">
        <v>381</v>
      </c>
      <c r="F19" s="385" t="s">
        <v>386</v>
      </c>
      <c r="G19" s="385" t="s">
        <v>19</v>
      </c>
      <c r="H19" s="386">
        <v>0</v>
      </c>
      <c r="I19" s="386">
        <v>0</v>
      </c>
      <c r="J19" s="386">
        <v>53.78</v>
      </c>
      <c r="K19" s="386">
        <v>0</v>
      </c>
      <c r="L19" s="387" t="s">
        <v>387</v>
      </c>
    </row>
    <row r="20" spans="1:12" ht="25.5" hidden="1">
      <c r="A20" s="385" t="s">
        <v>407</v>
      </c>
      <c r="B20" s="385" t="s">
        <v>408</v>
      </c>
      <c r="C20" s="385" t="s">
        <v>394</v>
      </c>
      <c r="D20" s="385" t="s">
        <v>397</v>
      </c>
      <c r="E20" s="385" t="s">
        <v>381</v>
      </c>
      <c r="F20" s="385" t="s">
        <v>410</v>
      </c>
      <c r="G20" s="385" t="s">
        <v>19</v>
      </c>
      <c r="H20" s="386">
        <v>0</v>
      </c>
      <c r="I20" s="386">
        <v>0</v>
      </c>
      <c r="J20" s="386">
        <v>546.52</v>
      </c>
      <c r="K20" s="386">
        <v>0</v>
      </c>
      <c r="L20" s="387" t="s">
        <v>411</v>
      </c>
    </row>
    <row r="21" spans="1:12" ht="25.5" hidden="1">
      <c r="A21" s="385" t="s">
        <v>407</v>
      </c>
      <c r="B21" s="385" t="s">
        <v>408</v>
      </c>
      <c r="C21" s="385" t="s">
        <v>396</v>
      </c>
      <c r="D21" s="385" t="s">
        <v>380</v>
      </c>
      <c r="E21" s="385" t="s">
        <v>381</v>
      </c>
      <c r="F21" s="385" t="s">
        <v>410</v>
      </c>
      <c r="G21" s="385" t="s">
        <v>19</v>
      </c>
      <c r="H21" s="386">
        <v>0</v>
      </c>
      <c r="I21" s="386">
        <v>0</v>
      </c>
      <c r="J21" s="386">
        <v>628.84</v>
      </c>
      <c r="K21" s="386">
        <v>0</v>
      </c>
      <c r="L21" s="387" t="s">
        <v>411</v>
      </c>
    </row>
    <row r="22" spans="1:12" hidden="1">
      <c r="A22" s="385" t="s">
        <v>407</v>
      </c>
      <c r="B22" s="385" t="s">
        <v>408</v>
      </c>
      <c r="C22" s="385" t="s">
        <v>379</v>
      </c>
      <c r="D22" s="385" t="s">
        <v>380</v>
      </c>
      <c r="E22" s="385" t="s">
        <v>381</v>
      </c>
      <c r="F22" s="385" t="s">
        <v>382</v>
      </c>
      <c r="G22" s="385" t="s">
        <v>12</v>
      </c>
      <c r="H22" s="386">
        <v>284991</v>
      </c>
      <c r="I22" s="386">
        <v>0</v>
      </c>
      <c r="J22" s="386">
        <v>177444</v>
      </c>
      <c r="K22" s="386">
        <v>0</v>
      </c>
      <c r="L22" s="387" t="s">
        <v>383</v>
      </c>
    </row>
    <row r="23" spans="1:12" ht="25.5" hidden="1">
      <c r="A23" s="385" t="s">
        <v>407</v>
      </c>
      <c r="B23" s="385" t="s">
        <v>408</v>
      </c>
      <c r="C23" s="385" t="s">
        <v>415</v>
      </c>
      <c r="D23" s="385" t="s">
        <v>380</v>
      </c>
      <c r="E23" s="385" t="s">
        <v>381</v>
      </c>
      <c r="F23" s="385" t="s">
        <v>410</v>
      </c>
      <c r="G23" s="385" t="s">
        <v>19</v>
      </c>
      <c r="H23" s="386">
        <v>360000</v>
      </c>
      <c r="I23" s="386">
        <v>0</v>
      </c>
      <c r="J23" s="386">
        <v>300725.40000000002</v>
      </c>
      <c r="K23" s="386">
        <v>0</v>
      </c>
      <c r="L23" s="387" t="s">
        <v>411</v>
      </c>
    </row>
    <row r="24" spans="1:12" hidden="1">
      <c r="A24" s="385" t="s">
        <v>407</v>
      </c>
      <c r="B24" s="385" t="s">
        <v>417</v>
      </c>
      <c r="C24" s="385" t="s">
        <v>391</v>
      </c>
      <c r="D24" s="385" t="s">
        <v>380</v>
      </c>
      <c r="E24" s="385" t="s">
        <v>381</v>
      </c>
      <c r="F24" s="385" t="s">
        <v>386</v>
      </c>
      <c r="G24" s="385" t="s">
        <v>19</v>
      </c>
      <c r="H24" s="386">
        <v>0</v>
      </c>
      <c r="I24" s="386">
        <v>0</v>
      </c>
      <c r="J24" s="386">
        <v>1.31</v>
      </c>
      <c r="K24" s="386">
        <v>0</v>
      </c>
      <c r="L24" s="387" t="s">
        <v>387</v>
      </c>
    </row>
    <row r="25" spans="1:12" ht="25.5" hidden="1">
      <c r="A25" s="385" t="s">
        <v>407</v>
      </c>
      <c r="B25" s="385" t="s">
        <v>417</v>
      </c>
      <c r="C25" s="385" t="s">
        <v>394</v>
      </c>
      <c r="D25" s="385" t="s">
        <v>380</v>
      </c>
      <c r="E25" s="385" t="s">
        <v>381</v>
      </c>
      <c r="F25" s="385" t="s">
        <v>410</v>
      </c>
      <c r="G25" s="385" t="s">
        <v>19</v>
      </c>
      <c r="H25" s="386">
        <v>0</v>
      </c>
      <c r="I25" s="386">
        <v>0</v>
      </c>
      <c r="J25" s="386">
        <v>311.72000000000003</v>
      </c>
      <c r="K25" s="386">
        <v>0</v>
      </c>
      <c r="L25" s="387" t="s">
        <v>411</v>
      </c>
    </row>
    <row r="26" spans="1:12" ht="25.5" hidden="1">
      <c r="A26" s="385" t="s">
        <v>407</v>
      </c>
      <c r="B26" s="385" t="s">
        <v>417</v>
      </c>
      <c r="C26" s="385" t="s">
        <v>395</v>
      </c>
      <c r="D26" s="385" t="s">
        <v>380</v>
      </c>
      <c r="E26" s="385" t="s">
        <v>381</v>
      </c>
      <c r="F26" s="385" t="s">
        <v>410</v>
      </c>
      <c r="G26" s="385" t="s">
        <v>19</v>
      </c>
      <c r="H26" s="386">
        <v>0</v>
      </c>
      <c r="I26" s="386">
        <v>0</v>
      </c>
      <c r="J26" s="386">
        <v>0</v>
      </c>
      <c r="K26" s="386">
        <v>0</v>
      </c>
      <c r="L26" s="387" t="s">
        <v>411</v>
      </c>
    </row>
    <row r="27" spans="1:12" ht="25.5" hidden="1">
      <c r="A27" s="385" t="s">
        <v>407</v>
      </c>
      <c r="B27" s="385" t="s">
        <v>417</v>
      </c>
      <c r="C27" s="385" t="s">
        <v>396</v>
      </c>
      <c r="D27" s="385" t="s">
        <v>380</v>
      </c>
      <c r="E27" s="385" t="s">
        <v>381</v>
      </c>
      <c r="F27" s="385" t="s">
        <v>410</v>
      </c>
      <c r="G27" s="385" t="s">
        <v>19</v>
      </c>
      <c r="H27" s="386">
        <v>0</v>
      </c>
      <c r="I27" s="386">
        <v>0</v>
      </c>
      <c r="J27" s="386">
        <v>7136.21</v>
      </c>
      <c r="K27" s="386">
        <v>0</v>
      </c>
      <c r="L27" s="387" t="s">
        <v>411</v>
      </c>
    </row>
    <row r="28" spans="1:12" ht="25.5" hidden="1">
      <c r="A28" s="385" t="s">
        <v>362</v>
      </c>
      <c r="B28" s="385" t="s">
        <v>332</v>
      </c>
      <c r="C28" s="385" t="s">
        <v>396</v>
      </c>
      <c r="D28" s="385" t="s">
        <v>397</v>
      </c>
      <c r="E28" s="385" t="s">
        <v>381</v>
      </c>
      <c r="F28" s="385" t="s">
        <v>418</v>
      </c>
      <c r="G28" s="385" t="s">
        <v>19</v>
      </c>
      <c r="H28" s="386">
        <v>0</v>
      </c>
      <c r="I28" s="386">
        <v>0</v>
      </c>
      <c r="J28" s="386">
        <v>25.91</v>
      </c>
      <c r="K28" s="386">
        <v>0</v>
      </c>
      <c r="L28" s="387" t="s">
        <v>419</v>
      </c>
    </row>
    <row r="29" spans="1:12" hidden="1">
      <c r="A29" s="385" t="s">
        <v>362</v>
      </c>
      <c r="B29" s="385" t="s">
        <v>332</v>
      </c>
      <c r="C29" s="385" t="s">
        <v>379</v>
      </c>
      <c r="D29" s="385" t="s">
        <v>380</v>
      </c>
      <c r="E29" s="385" t="s">
        <v>381</v>
      </c>
      <c r="F29" s="385" t="s">
        <v>382</v>
      </c>
      <c r="G29" s="385" t="s">
        <v>12</v>
      </c>
      <c r="H29" s="386">
        <v>557500</v>
      </c>
      <c r="I29" s="386">
        <v>0</v>
      </c>
      <c r="J29" s="386">
        <v>250801.25</v>
      </c>
      <c r="K29" s="386">
        <v>0</v>
      </c>
      <c r="L29" s="387" t="s">
        <v>383</v>
      </c>
    </row>
    <row r="30" spans="1:12" hidden="1">
      <c r="A30" s="385" t="s">
        <v>362</v>
      </c>
      <c r="B30" s="385" t="s">
        <v>420</v>
      </c>
      <c r="C30" s="385" t="s">
        <v>379</v>
      </c>
      <c r="D30" s="385" t="s">
        <v>380</v>
      </c>
      <c r="E30" s="385" t="s">
        <v>381</v>
      </c>
      <c r="F30" s="385" t="s">
        <v>382</v>
      </c>
      <c r="G30" s="385" t="s">
        <v>12</v>
      </c>
      <c r="H30" s="386">
        <v>835000</v>
      </c>
      <c r="I30" s="386">
        <v>0</v>
      </c>
      <c r="J30" s="386">
        <v>581200</v>
      </c>
      <c r="K30" s="386">
        <v>0</v>
      </c>
      <c r="L30" s="387" t="s">
        <v>383</v>
      </c>
    </row>
    <row r="31" spans="1:12" ht="51" hidden="1">
      <c r="A31" s="385" t="s">
        <v>362</v>
      </c>
      <c r="B31" s="385" t="s">
        <v>336</v>
      </c>
      <c r="C31" s="385" t="s">
        <v>385</v>
      </c>
      <c r="D31" s="385" t="s">
        <v>380</v>
      </c>
      <c r="E31" s="385" t="s">
        <v>381</v>
      </c>
      <c r="F31" s="385" t="s">
        <v>421</v>
      </c>
      <c r="G31" s="385" t="s">
        <v>19</v>
      </c>
      <c r="H31" s="386">
        <v>0</v>
      </c>
      <c r="I31" s="386">
        <v>0</v>
      </c>
      <c r="J31" s="386">
        <v>0</v>
      </c>
      <c r="K31" s="386">
        <v>0</v>
      </c>
      <c r="L31" s="387" t="s">
        <v>53</v>
      </c>
    </row>
    <row r="32" spans="1:12" ht="51" hidden="1">
      <c r="A32" s="385" t="s">
        <v>362</v>
      </c>
      <c r="B32" s="385" t="s">
        <v>336</v>
      </c>
      <c r="C32" s="385" t="s">
        <v>395</v>
      </c>
      <c r="D32" s="385" t="s">
        <v>380</v>
      </c>
      <c r="E32" s="385" t="s">
        <v>381</v>
      </c>
      <c r="F32" s="385" t="s">
        <v>421</v>
      </c>
      <c r="G32" s="385" t="s">
        <v>19</v>
      </c>
      <c r="H32" s="386">
        <v>0</v>
      </c>
      <c r="I32" s="386">
        <v>0</v>
      </c>
      <c r="J32" s="386">
        <v>0</v>
      </c>
      <c r="K32" s="386">
        <v>0</v>
      </c>
      <c r="L32" s="387" t="s">
        <v>53</v>
      </c>
    </row>
    <row r="33" spans="1:12" ht="51" hidden="1">
      <c r="A33" s="385" t="s">
        <v>362</v>
      </c>
      <c r="B33" s="385" t="s">
        <v>336</v>
      </c>
      <c r="C33" s="385" t="s">
        <v>422</v>
      </c>
      <c r="D33" s="385" t="s">
        <v>380</v>
      </c>
      <c r="E33" s="385" t="s">
        <v>381</v>
      </c>
      <c r="F33" s="385" t="s">
        <v>421</v>
      </c>
      <c r="G33" s="385" t="s">
        <v>19</v>
      </c>
      <c r="H33" s="386">
        <v>47625</v>
      </c>
      <c r="I33" s="386">
        <v>0</v>
      </c>
      <c r="J33" s="386">
        <v>0</v>
      </c>
      <c r="K33" s="386">
        <v>0</v>
      </c>
      <c r="L33" s="387" t="s">
        <v>53</v>
      </c>
    </row>
    <row r="34" spans="1:12" ht="51" hidden="1">
      <c r="A34" s="385" t="s">
        <v>362</v>
      </c>
      <c r="B34" s="385" t="s">
        <v>336</v>
      </c>
      <c r="C34" s="385" t="s">
        <v>663</v>
      </c>
      <c r="D34" s="385" t="s">
        <v>380</v>
      </c>
      <c r="E34" s="385" t="s">
        <v>381</v>
      </c>
      <c r="F34" s="385" t="s">
        <v>421</v>
      </c>
      <c r="G34" s="385" t="s">
        <v>19</v>
      </c>
      <c r="H34" s="386">
        <v>134685</v>
      </c>
      <c r="I34" s="386">
        <v>0</v>
      </c>
      <c r="J34" s="386">
        <v>0</v>
      </c>
      <c r="K34" s="386">
        <v>0</v>
      </c>
      <c r="L34" s="387" t="s">
        <v>53</v>
      </c>
    </row>
    <row r="35" spans="1:12" hidden="1">
      <c r="A35" s="385" t="s">
        <v>424</v>
      </c>
      <c r="B35" s="385" t="s">
        <v>425</v>
      </c>
      <c r="C35" s="385" t="s">
        <v>379</v>
      </c>
      <c r="D35" s="385" t="s">
        <v>380</v>
      </c>
      <c r="E35" s="385" t="s">
        <v>381</v>
      </c>
      <c r="F35" s="385" t="s">
        <v>382</v>
      </c>
      <c r="G35" s="385" t="s">
        <v>12</v>
      </c>
      <c r="H35" s="386">
        <v>102900</v>
      </c>
      <c r="I35" s="386">
        <v>0</v>
      </c>
      <c r="J35" s="386">
        <v>71235</v>
      </c>
      <c r="K35" s="386">
        <v>0</v>
      </c>
      <c r="L35" s="387" t="s">
        <v>383</v>
      </c>
    </row>
    <row r="36" spans="1:12" hidden="1">
      <c r="A36" s="385" t="s">
        <v>424</v>
      </c>
      <c r="B36" s="385" t="s">
        <v>426</v>
      </c>
      <c r="C36" s="385" t="s">
        <v>412</v>
      </c>
      <c r="D36" s="385" t="s">
        <v>397</v>
      </c>
      <c r="E36" s="385" t="s">
        <v>381</v>
      </c>
      <c r="F36" s="385" t="s">
        <v>386</v>
      </c>
      <c r="G36" s="385" t="s">
        <v>19</v>
      </c>
      <c r="H36" s="386">
        <v>0</v>
      </c>
      <c r="I36" s="386">
        <v>0</v>
      </c>
      <c r="J36" s="386">
        <v>2141.52</v>
      </c>
      <c r="K36" s="386">
        <v>0</v>
      </c>
      <c r="L36" s="387" t="s">
        <v>387</v>
      </c>
    </row>
    <row r="37" spans="1:12" hidden="1">
      <c r="A37" s="385" t="s">
        <v>424</v>
      </c>
      <c r="B37" s="385" t="s">
        <v>426</v>
      </c>
      <c r="C37" s="385" t="s">
        <v>385</v>
      </c>
      <c r="D37" s="385" t="s">
        <v>397</v>
      </c>
      <c r="E37" s="385" t="s">
        <v>381</v>
      </c>
      <c r="F37" s="385" t="s">
        <v>427</v>
      </c>
      <c r="G37" s="385" t="s">
        <v>19</v>
      </c>
      <c r="H37" s="386">
        <v>0</v>
      </c>
      <c r="I37" s="386">
        <v>0</v>
      </c>
      <c r="J37" s="386">
        <v>37.92</v>
      </c>
      <c r="K37" s="386">
        <v>0</v>
      </c>
      <c r="L37" s="387" t="s">
        <v>428</v>
      </c>
    </row>
    <row r="38" spans="1:12" hidden="1">
      <c r="A38" s="385" t="s">
        <v>424</v>
      </c>
      <c r="B38" s="385" t="s">
        <v>426</v>
      </c>
      <c r="C38" s="385" t="s">
        <v>385</v>
      </c>
      <c r="D38" s="385" t="s">
        <v>397</v>
      </c>
      <c r="E38" s="385" t="s">
        <v>381</v>
      </c>
      <c r="F38" s="385" t="s">
        <v>386</v>
      </c>
      <c r="G38" s="385" t="s">
        <v>19</v>
      </c>
      <c r="H38" s="386">
        <v>0</v>
      </c>
      <c r="I38" s="386">
        <v>0</v>
      </c>
      <c r="J38" s="386">
        <v>1321.25</v>
      </c>
      <c r="K38" s="386">
        <v>0</v>
      </c>
      <c r="L38" s="387" t="s">
        <v>387</v>
      </c>
    </row>
    <row r="39" spans="1:12" hidden="1">
      <c r="A39" s="385" t="s">
        <v>424</v>
      </c>
      <c r="B39" s="385" t="s">
        <v>426</v>
      </c>
      <c r="C39" s="385" t="s">
        <v>429</v>
      </c>
      <c r="D39" s="385" t="s">
        <v>397</v>
      </c>
      <c r="E39" s="385" t="s">
        <v>381</v>
      </c>
      <c r="F39" s="385" t="s">
        <v>386</v>
      </c>
      <c r="G39" s="385" t="s">
        <v>19</v>
      </c>
      <c r="H39" s="386">
        <v>0</v>
      </c>
      <c r="I39" s="386">
        <v>0</v>
      </c>
      <c r="J39" s="386">
        <v>2714</v>
      </c>
      <c r="K39" s="386">
        <v>0</v>
      </c>
      <c r="L39" s="387" t="s">
        <v>387</v>
      </c>
    </row>
    <row r="40" spans="1:12" ht="25.5" hidden="1">
      <c r="A40" s="385" t="s">
        <v>424</v>
      </c>
      <c r="B40" s="385" t="s">
        <v>426</v>
      </c>
      <c r="C40" s="385" t="s">
        <v>413</v>
      </c>
      <c r="D40" s="385" t="s">
        <v>380</v>
      </c>
      <c r="E40" s="385" t="s">
        <v>381</v>
      </c>
      <c r="F40" s="385" t="s">
        <v>392</v>
      </c>
      <c r="G40" s="385" t="s">
        <v>19</v>
      </c>
      <c r="H40" s="386">
        <v>1475</v>
      </c>
      <c r="I40" s="386">
        <v>0</v>
      </c>
      <c r="J40" s="386">
        <v>737.7</v>
      </c>
      <c r="K40" s="386">
        <v>0</v>
      </c>
      <c r="L40" s="387" t="s">
        <v>393</v>
      </c>
    </row>
    <row r="41" spans="1:12" ht="25.5" hidden="1">
      <c r="A41" s="385" t="s">
        <v>424</v>
      </c>
      <c r="B41" s="385" t="s">
        <v>426</v>
      </c>
      <c r="C41" s="385" t="s">
        <v>430</v>
      </c>
      <c r="D41" s="385" t="s">
        <v>380</v>
      </c>
      <c r="E41" s="385" t="s">
        <v>381</v>
      </c>
      <c r="F41" s="385" t="s">
        <v>392</v>
      </c>
      <c r="G41" s="385" t="s">
        <v>19</v>
      </c>
      <c r="H41" s="386">
        <v>0</v>
      </c>
      <c r="I41" s="386">
        <v>0</v>
      </c>
      <c r="J41" s="386">
        <v>0</v>
      </c>
      <c r="K41" s="386">
        <v>0</v>
      </c>
      <c r="L41" s="387" t="s">
        <v>393</v>
      </c>
    </row>
    <row r="42" spans="1:12" ht="25.5" hidden="1">
      <c r="A42" s="385" t="s">
        <v>424</v>
      </c>
      <c r="B42" s="385" t="s">
        <v>426</v>
      </c>
      <c r="C42" s="385" t="s">
        <v>388</v>
      </c>
      <c r="D42" s="385" t="s">
        <v>397</v>
      </c>
      <c r="E42" s="385" t="s">
        <v>381</v>
      </c>
      <c r="F42" s="385" t="s">
        <v>392</v>
      </c>
      <c r="G42" s="385" t="s">
        <v>19</v>
      </c>
      <c r="H42" s="386">
        <v>0</v>
      </c>
      <c r="I42" s="386">
        <v>0</v>
      </c>
      <c r="J42" s="386">
        <v>167.4</v>
      </c>
      <c r="K42" s="386">
        <v>0</v>
      </c>
      <c r="L42" s="387" t="s">
        <v>393</v>
      </c>
    </row>
    <row r="43" spans="1:12" hidden="1">
      <c r="A43" s="385" t="s">
        <v>424</v>
      </c>
      <c r="B43" s="385" t="s">
        <v>426</v>
      </c>
      <c r="C43" s="385" t="s">
        <v>391</v>
      </c>
      <c r="D43" s="385" t="s">
        <v>380</v>
      </c>
      <c r="E43" s="385" t="s">
        <v>381</v>
      </c>
      <c r="F43" s="385" t="s">
        <v>386</v>
      </c>
      <c r="G43" s="385" t="s">
        <v>19</v>
      </c>
      <c r="H43" s="386">
        <v>0</v>
      </c>
      <c r="I43" s="386">
        <v>0</v>
      </c>
      <c r="J43" s="386">
        <v>272.91000000000003</v>
      </c>
      <c r="K43" s="386">
        <v>0</v>
      </c>
      <c r="L43" s="387" t="s">
        <v>387</v>
      </c>
    </row>
    <row r="44" spans="1:12" ht="38.25" hidden="1">
      <c r="A44" s="385" t="s">
        <v>424</v>
      </c>
      <c r="B44" s="385" t="s">
        <v>426</v>
      </c>
      <c r="C44" s="385" t="s">
        <v>394</v>
      </c>
      <c r="D44" s="385" t="s">
        <v>397</v>
      </c>
      <c r="E44" s="385" t="s">
        <v>381</v>
      </c>
      <c r="F44" s="385" t="s">
        <v>441</v>
      </c>
      <c r="G44" s="385" t="s">
        <v>19</v>
      </c>
      <c r="H44" s="386">
        <v>0</v>
      </c>
      <c r="I44" s="386">
        <v>0</v>
      </c>
      <c r="J44" s="386">
        <v>0</v>
      </c>
      <c r="K44" s="386">
        <v>0</v>
      </c>
      <c r="L44" s="387" t="s">
        <v>442</v>
      </c>
    </row>
    <row r="45" spans="1:12" ht="25.5" hidden="1">
      <c r="A45" s="385" t="s">
        <v>424</v>
      </c>
      <c r="B45" s="385" t="s">
        <v>426</v>
      </c>
      <c r="C45" s="385" t="s">
        <v>394</v>
      </c>
      <c r="D45" s="385" t="s">
        <v>397</v>
      </c>
      <c r="E45" s="385" t="s">
        <v>381</v>
      </c>
      <c r="F45" s="385" t="s">
        <v>392</v>
      </c>
      <c r="G45" s="385" t="s">
        <v>19</v>
      </c>
      <c r="H45" s="386">
        <v>0</v>
      </c>
      <c r="I45" s="386">
        <v>0</v>
      </c>
      <c r="J45" s="386">
        <v>1958.38</v>
      </c>
      <c r="K45" s="386">
        <v>0</v>
      </c>
      <c r="L45" s="387" t="s">
        <v>393</v>
      </c>
    </row>
    <row r="46" spans="1:12" hidden="1">
      <c r="A46" s="385" t="s">
        <v>424</v>
      </c>
      <c r="B46" s="385" t="s">
        <v>426</v>
      </c>
      <c r="C46" s="385" t="s">
        <v>394</v>
      </c>
      <c r="D46" s="385" t="s">
        <v>397</v>
      </c>
      <c r="E46" s="385" t="s">
        <v>381</v>
      </c>
      <c r="F46" s="385" t="s">
        <v>427</v>
      </c>
      <c r="G46" s="385" t="s">
        <v>19</v>
      </c>
      <c r="H46" s="386">
        <v>0</v>
      </c>
      <c r="I46" s="386">
        <v>0</v>
      </c>
      <c r="J46" s="386">
        <v>234.62</v>
      </c>
      <c r="K46" s="386">
        <v>0</v>
      </c>
      <c r="L46" s="387" t="s">
        <v>428</v>
      </c>
    </row>
    <row r="47" spans="1:12" ht="25.5" hidden="1">
      <c r="A47" s="385" t="s">
        <v>424</v>
      </c>
      <c r="B47" s="385" t="s">
        <v>426</v>
      </c>
      <c r="C47" s="385" t="s">
        <v>395</v>
      </c>
      <c r="D47" s="385" t="s">
        <v>380</v>
      </c>
      <c r="E47" s="385" t="s">
        <v>381</v>
      </c>
      <c r="F47" s="385" t="s">
        <v>392</v>
      </c>
      <c r="G47" s="385" t="s">
        <v>19</v>
      </c>
      <c r="H47" s="386">
        <v>0</v>
      </c>
      <c r="I47" s="386">
        <v>0</v>
      </c>
      <c r="J47" s="386">
        <v>0</v>
      </c>
      <c r="K47" s="386">
        <v>0</v>
      </c>
      <c r="L47" s="387" t="s">
        <v>393</v>
      </c>
    </row>
    <row r="48" spans="1:12" hidden="1">
      <c r="A48" s="385" t="s">
        <v>424</v>
      </c>
      <c r="B48" s="385" t="s">
        <v>426</v>
      </c>
      <c r="C48" s="385" t="s">
        <v>431</v>
      </c>
      <c r="D48" s="385" t="s">
        <v>397</v>
      </c>
      <c r="E48" s="385" t="s">
        <v>381</v>
      </c>
      <c r="F48" s="385" t="s">
        <v>386</v>
      </c>
      <c r="G48" s="385" t="s">
        <v>19</v>
      </c>
      <c r="H48" s="386">
        <v>0</v>
      </c>
      <c r="I48" s="386">
        <v>0</v>
      </c>
      <c r="J48" s="386">
        <v>5.13</v>
      </c>
      <c r="K48" s="386">
        <v>0</v>
      </c>
      <c r="L48" s="387" t="s">
        <v>387</v>
      </c>
    </row>
    <row r="49" spans="1:12" ht="25.5" hidden="1">
      <c r="A49" s="385" t="s">
        <v>424</v>
      </c>
      <c r="B49" s="385" t="s">
        <v>426</v>
      </c>
      <c r="C49" s="385" t="s">
        <v>396</v>
      </c>
      <c r="D49" s="385" t="s">
        <v>397</v>
      </c>
      <c r="E49" s="385" t="s">
        <v>381</v>
      </c>
      <c r="F49" s="385" t="s">
        <v>392</v>
      </c>
      <c r="G49" s="385" t="s">
        <v>19</v>
      </c>
      <c r="H49" s="386">
        <v>0</v>
      </c>
      <c r="I49" s="386">
        <v>0</v>
      </c>
      <c r="J49" s="386">
        <v>1148.98</v>
      </c>
      <c r="K49" s="386">
        <v>0</v>
      </c>
      <c r="L49" s="387" t="s">
        <v>393</v>
      </c>
    </row>
    <row r="50" spans="1:12" hidden="1">
      <c r="A50" s="385" t="s">
        <v>424</v>
      </c>
      <c r="B50" s="385" t="s">
        <v>426</v>
      </c>
      <c r="C50" s="385" t="s">
        <v>396</v>
      </c>
      <c r="D50" s="385" t="s">
        <v>397</v>
      </c>
      <c r="E50" s="385" t="s">
        <v>381</v>
      </c>
      <c r="F50" s="385" t="s">
        <v>427</v>
      </c>
      <c r="G50" s="385" t="s">
        <v>19</v>
      </c>
      <c r="H50" s="386">
        <v>0</v>
      </c>
      <c r="I50" s="386">
        <v>0</v>
      </c>
      <c r="J50" s="386">
        <v>6225.05</v>
      </c>
      <c r="K50" s="386">
        <v>0</v>
      </c>
      <c r="L50" s="387" t="s">
        <v>428</v>
      </c>
    </row>
    <row r="51" spans="1:12" hidden="1">
      <c r="A51" s="385" t="s">
        <v>424</v>
      </c>
      <c r="B51" s="385" t="s">
        <v>426</v>
      </c>
      <c r="C51" s="385" t="s">
        <v>396</v>
      </c>
      <c r="D51" s="385" t="s">
        <v>397</v>
      </c>
      <c r="E51" s="385" t="s">
        <v>381</v>
      </c>
      <c r="F51" s="385" t="s">
        <v>386</v>
      </c>
      <c r="G51" s="385" t="s">
        <v>19</v>
      </c>
      <c r="H51" s="386">
        <v>10000</v>
      </c>
      <c r="I51" s="386">
        <v>0</v>
      </c>
      <c r="J51" s="386">
        <v>2796.38</v>
      </c>
      <c r="K51" s="386">
        <v>0</v>
      </c>
      <c r="L51" s="387" t="s">
        <v>387</v>
      </c>
    </row>
    <row r="52" spans="1:12" hidden="1">
      <c r="A52" s="385" t="s">
        <v>424</v>
      </c>
      <c r="B52" s="385" t="s">
        <v>426</v>
      </c>
      <c r="C52" s="385" t="s">
        <v>485</v>
      </c>
      <c r="D52" s="385" t="s">
        <v>397</v>
      </c>
      <c r="E52" s="385" t="s">
        <v>381</v>
      </c>
      <c r="F52" s="385" t="s">
        <v>386</v>
      </c>
      <c r="G52" s="385" t="s">
        <v>19</v>
      </c>
      <c r="H52" s="386">
        <v>0</v>
      </c>
      <c r="I52" s="386">
        <v>0</v>
      </c>
      <c r="J52" s="386">
        <v>189.25</v>
      </c>
      <c r="K52" s="386">
        <v>0</v>
      </c>
      <c r="L52" s="387" t="s">
        <v>387</v>
      </c>
    </row>
    <row r="53" spans="1:12" hidden="1">
      <c r="A53" s="385" t="s">
        <v>424</v>
      </c>
      <c r="B53" s="385" t="s">
        <v>426</v>
      </c>
      <c r="C53" s="385" t="s">
        <v>663</v>
      </c>
      <c r="D53" s="385" t="s">
        <v>380</v>
      </c>
      <c r="E53" s="385" t="s">
        <v>381</v>
      </c>
      <c r="F53" s="385" t="s">
        <v>693</v>
      </c>
      <c r="G53" s="385" t="s">
        <v>19</v>
      </c>
      <c r="H53" s="386">
        <v>197064</v>
      </c>
      <c r="I53" s="386">
        <v>0</v>
      </c>
      <c r="J53" s="386">
        <v>197064.01</v>
      </c>
      <c r="K53" s="386">
        <v>0</v>
      </c>
      <c r="L53" s="387" t="s">
        <v>741</v>
      </c>
    </row>
    <row r="54" spans="1:12" hidden="1">
      <c r="A54" s="385" t="s">
        <v>424</v>
      </c>
      <c r="B54" s="385" t="s">
        <v>426</v>
      </c>
      <c r="C54" s="385" t="s">
        <v>664</v>
      </c>
      <c r="D54" s="385" t="s">
        <v>380</v>
      </c>
      <c r="E54" s="385" t="s">
        <v>381</v>
      </c>
      <c r="F54" s="385" t="s">
        <v>693</v>
      </c>
      <c r="G54" s="385" t="s">
        <v>19</v>
      </c>
      <c r="H54" s="386">
        <v>37536</v>
      </c>
      <c r="I54" s="386">
        <v>0</v>
      </c>
      <c r="J54" s="386">
        <v>37536</v>
      </c>
      <c r="K54" s="386">
        <v>0</v>
      </c>
      <c r="L54" s="387" t="s">
        <v>741</v>
      </c>
    </row>
    <row r="55" spans="1:12" hidden="1">
      <c r="A55" s="385" t="s">
        <v>339</v>
      </c>
      <c r="B55" s="385" t="s">
        <v>340</v>
      </c>
      <c r="C55" s="385" t="s">
        <v>379</v>
      </c>
      <c r="D55" s="385" t="s">
        <v>380</v>
      </c>
      <c r="E55" s="385" t="s">
        <v>381</v>
      </c>
      <c r="F55" s="385" t="s">
        <v>382</v>
      </c>
      <c r="G55" s="385" t="s">
        <v>12</v>
      </c>
      <c r="H55" s="386">
        <v>44000</v>
      </c>
      <c r="I55" s="386">
        <v>0</v>
      </c>
      <c r="J55" s="386">
        <v>42164.99</v>
      </c>
      <c r="K55" s="386">
        <v>0</v>
      </c>
      <c r="L55" s="387" t="s">
        <v>383</v>
      </c>
    </row>
    <row r="56" spans="1:12" hidden="1">
      <c r="A56" s="385" t="s">
        <v>435</v>
      </c>
      <c r="B56" s="385" t="s">
        <v>436</v>
      </c>
      <c r="C56" s="385" t="s">
        <v>379</v>
      </c>
      <c r="D56" s="385" t="s">
        <v>380</v>
      </c>
      <c r="E56" s="385" t="s">
        <v>381</v>
      </c>
      <c r="F56" s="385" t="s">
        <v>382</v>
      </c>
      <c r="G56" s="385" t="s">
        <v>12</v>
      </c>
      <c r="H56" s="386">
        <v>10547649</v>
      </c>
      <c r="I56" s="386">
        <v>0</v>
      </c>
      <c r="J56" s="386">
        <v>7746857</v>
      </c>
      <c r="K56" s="386">
        <v>0</v>
      </c>
      <c r="L56" s="387" t="s">
        <v>383</v>
      </c>
    </row>
    <row r="57" spans="1:12" ht="25.5" hidden="1">
      <c r="A57" s="385" t="s">
        <v>435</v>
      </c>
      <c r="B57" s="385" t="s">
        <v>436</v>
      </c>
      <c r="C57" s="385" t="s">
        <v>415</v>
      </c>
      <c r="D57" s="385" t="s">
        <v>397</v>
      </c>
      <c r="E57" s="385" t="s">
        <v>381</v>
      </c>
      <c r="F57" s="385" t="s">
        <v>410</v>
      </c>
      <c r="G57" s="385" t="s">
        <v>19</v>
      </c>
      <c r="H57" s="386">
        <v>0</v>
      </c>
      <c r="I57" s="386">
        <v>0</v>
      </c>
      <c r="J57" s="386">
        <v>603.07000000000005</v>
      </c>
      <c r="K57" s="386">
        <v>0</v>
      </c>
      <c r="L57" s="387" t="s">
        <v>411</v>
      </c>
    </row>
    <row r="58" spans="1:12" hidden="1">
      <c r="A58" s="385" t="s">
        <v>252</v>
      </c>
      <c r="B58" s="385" t="s">
        <v>253</v>
      </c>
      <c r="C58" s="385" t="s">
        <v>437</v>
      </c>
      <c r="D58" s="385" t="s">
        <v>397</v>
      </c>
      <c r="E58" s="385" t="s">
        <v>381</v>
      </c>
      <c r="F58" s="385" t="s">
        <v>386</v>
      </c>
      <c r="G58" s="385" t="s">
        <v>19</v>
      </c>
      <c r="H58" s="386">
        <v>0</v>
      </c>
      <c r="I58" s="386">
        <v>0</v>
      </c>
      <c r="J58" s="386">
        <v>11.6</v>
      </c>
      <c r="K58" s="386">
        <v>0</v>
      </c>
      <c r="L58" s="387" t="s">
        <v>387</v>
      </c>
    </row>
    <row r="59" spans="1:12" hidden="1">
      <c r="A59" s="385" t="s">
        <v>252</v>
      </c>
      <c r="B59" s="385" t="s">
        <v>253</v>
      </c>
      <c r="C59" s="385" t="s">
        <v>379</v>
      </c>
      <c r="D59" s="385" t="s">
        <v>380</v>
      </c>
      <c r="E59" s="385" t="s">
        <v>381</v>
      </c>
      <c r="F59" s="385" t="s">
        <v>382</v>
      </c>
      <c r="G59" s="385" t="s">
        <v>12</v>
      </c>
      <c r="H59" s="386">
        <v>219744</v>
      </c>
      <c r="I59" s="386">
        <v>0</v>
      </c>
      <c r="J59" s="386">
        <v>146496</v>
      </c>
      <c r="K59" s="386">
        <v>0</v>
      </c>
      <c r="L59" s="387" t="s">
        <v>383</v>
      </c>
    </row>
    <row r="60" spans="1:12" hidden="1">
      <c r="A60" s="385" t="s">
        <v>72</v>
      </c>
      <c r="B60" s="385" t="s">
        <v>74</v>
      </c>
      <c r="C60" s="385" t="s">
        <v>438</v>
      </c>
      <c r="D60" s="385" t="s">
        <v>380</v>
      </c>
      <c r="E60" s="385" t="s">
        <v>381</v>
      </c>
      <c r="F60" s="385" t="s">
        <v>427</v>
      </c>
      <c r="G60" s="385" t="s">
        <v>19</v>
      </c>
      <c r="H60" s="386">
        <v>1400000</v>
      </c>
      <c r="I60" s="386">
        <v>0</v>
      </c>
      <c r="J60" s="386">
        <v>985528.25</v>
      </c>
      <c r="K60" s="386">
        <v>0</v>
      </c>
      <c r="L60" s="387" t="s">
        <v>428</v>
      </c>
    </row>
    <row r="61" spans="1:12" ht="38.25" hidden="1">
      <c r="A61" s="385" t="s">
        <v>72</v>
      </c>
      <c r="B61" s="385" t="s">
        <v>74</v>
      </c>
      <c r="C61" s="385" t="s">
        <v>440</v>
      </c>
      <c r="D61" s="385" t="s">
        <v>397</v>
      </c>
      <c r="E61" s="385" t="s">
        <v>381</v>
      </c>
      <c r="F61" s="385" t="s">
        <v>441</v>
      </c>
      <c r="G61" s="385" t="s">
        <v>19</v>
      </c>
      <c r="H61" s="386">
        <v>32500</v>
      </c>
      <c r="I61" s="386">
        <v>0</v>
      </c>
      <c r="J61" s="386">
        <v>33865.199999999997</v>
      </c>
      <c r="K61" s="386">
        <v>0</v>
      </c>
      <c r="L61" s="387" t="s">
        <v>442</v>
      </c>
    </row>
    <row r="62" spans="1:12" ht="25.5" hidden="1">
      <c r="A62" s="385" t="s">
        <v>72</v>
      </c>
      <c r="B62" s="385" t="s">
        <v>74</v>
      </c>
      <c r="C62" s="385" t="s">
        <v>406</v>
      </c>
      <c r="D62" s="385" t="s">
        <v>380</v>
      </c>
      <c r="E62" s="385" t="s">
        <v>381</v>
      </c>
      <c r="F62" s="385" t="s">
        <v>418</v>
      </c>
      <c r="G62" s="385" t="s">
        <v>19</v>
      </c>
      <c r="H62" s="386">
        <v>1450000</v>
      </c>
      <c r="I62" s="386">
        <v>0</v>
      </c>
      <c r="J62" s="386">
        <v>1156271.6200000001</v>
      </c>
      <c r="K62" s="386">
        <v>0</v>
      </c>
      <c r="L62" s="387" t="s">
        <v>419</v>
      </c>
    </row>
    <row r="63" spans="1:12" hidden="1">
      <c r="A63" s="385" t="s">
        <v>72</v>
      </c>
      <c r="B63" s="385" t="s">
        <v>74</v>
      </c>
      <c r="C63" s="385" t="s">
        <v>406</v>
      </c>
      <c r="D63" s="385" t="s">
        <v>380</v>
      </c>
      <c r="E63" s="385" t="s">
        <v>381</v>
      </c>
      <c r="F63" s="385" t="s">
        <v>427</v>
      </c>
      <c r="G63" s="385" t="s">
        <v>19</v>
      </c>
      <c r="H63" s="386">
        <v>60000</v>
      </c>
      <c r="I63" s="386">
        <v>0</v>
      </c>
      <c r="J63" s="386">
        <v>32327.27</v>
      </c>
      <c r="K63" s="386">
        <v>0</v>
      </c>
      <c r="L63" s="387" t="s">
        <v>428</v>
      </c>
    </row>
    <row r="64" spans="1:12" ht="25.5" hidden="1">
      <c r="A64" s="385" t="s">
        <v>72</v>
      </c>
      <c r="B64" s="385" t="s">
        <v>74</v>
      </c>
      <c r="C64" s="385" t="s">
        <v>406</v>
      </c>
      <c r="D64" s="385" t="s">
        <v>380</v>
      </c>
      <c r="E64" s="385" t="s">
        <v>381</v>
      </c>
      <c r="F64" s="385" t="s">
        <v>389</v>
      </c>
      <c r="G64" s="385" t="s">
        <v>19</v>
      </c>
      <c r="H64" s="386">
        <v>0</v>
      </c>
      <c r="I64" s="386">
        <v>0</v>
      </c>
      <c r="J64" s="386">
        <v>0</v>
      </c>
      <c r="K64" s="386">
        <v>0</v>
      </c>
      <c r="L64" s="387" t="s">
        <v>390</v>
      </c>
    </row>
    <row r="65" spans="1:12" hidden="1">
      <c r="A65" s="385" t="s">
        <v>72</v>
      </c>
      <c r="B65" s="385" t="s">
        <v>74</v>
      </c>
      <c r="C65" s="385" t="s">
        <v>443</v>
      </c>
      <c r="D65" s="385" t="s">
        <v>380</v>
      </c>
      <c r="E65" s="385" t="s">
        <v>381</v>
      </c>
      <c r="F65" s="385" t="s">
        <v>427</v>
      </c>
      <c r="G65" s="385" t="s">
        <v>19</v>
      </c>
      <c r="H65" s="386">
        <v>200000</v>
      </c>
      <c r="I65" s="386">
        <v>0</v>
      </c>
      <c r="J65" s="386">
        <v>201973.87</v>
      </c>
      <c r="K65" s="386">
        <v>0</v>
      </c>
      <c r="L65" s="387" t="s">
        <v>428</v>
      </c>
    </row>
    <row r="66" spans="1:12" hidden="1">
      <c r="A66" s="385" t="s">
        <v>72</v>
      </c>
      <c r="B66" s="385" t="s">
        <v>74</v>
      </c>
      <c r="C66" s="385" t="s">
        <v>444</v>
      </c>
      <c r="D66" s="385" t="s">
        <v>380</v>
      </c>
      <c r="E66" s="385" t="s">
        <v>381</v>
      </c>
      <c r="F66" s="385" t="s">
        <v>427</v>
      </c>
      <c r="G66" s="385" t="s">
        <v>19</v>
      </c>
      <c r="H66" s="386">
        <v>10000</v>
      </c>
      <c r="I66" s="386">
        <v>0</v>
      </c>
      <c r="J66" s="386">
        <v>10841</v>
      </c>
      <c r="K66" s="386">
        <v>0</v>
      </c>
      <c r="L66" s="387" t="s">
        <v>428</v>
      </c>
    </row>
    <row r="67" spans="1:12" hidden="1">
      <c r="A67" s="385" t="s">
        <v>72</v>
      </c>
      <c r="B67" s="385" t="s">
        <v>74</v>
      </c>
      <c r="C67" s="385" t="s">
        <v>445</v>
      </c>
      <c r="D67" s="385" t="s">
        <v>380</v>
      </c>
      <c r="E67" s="385" t="s">
        <v>381</v>
      </c>
      <c r="F67" s="385" t="s">
        <v>427</v>
      </c>
      <c r="G67" s="385" t="s">
        <v>19</v>
      </c>
      <c r="H67" s="386">
        <v>2500</v>
      </c>
      <c r="I67" s="386">
        <v>0</v>
      </c>
      <c r="J67" s="386">
        <v>6839.81</v>
      </c>
      <c r="K67" s="386">
        <v>0</v>
      </c>
      <c r="L67" s="387" t="s">
        <v>428</v>
      </c>
    </row>
    <row r="68" spans="1:12" hidden="1">
      <c r="A68" s="385" t="s">
        <v>72</v>
      </c>
      <c r="B68" s="385" t="s">
        <v>74</v>
      </c>
      <c r="C68" s="385" t="s">
        <v>446</v>
      </c>
      <c r="D68" s="385" t="s">
        <v>380</v>
      </c>
      <c r="E68" s="385" t="s">
        <v>381</v>
      </c>
      <c r="F68" s="385" t="s">
        <v>427</v>
      </c>
      <c r="G68" s="385" t="s">
        <v>19</v>
      </c>
      <c r="H68" s="386">
        <v>2500</v>
      </c>
      <c r="I68" s="386">
        <v>0</v>
      </c>
      <c r="J68" s="386">
        <v>4245</v>
      </c>
      <c r="K68" s="386">
        <v>0</v>
      </c>
      <c r="L68" s="387" t="s">
        <v>428</v>
      </c>
    </row>
    <row r="69" spans="1:12" hidden="1">
      <c r="A69" s="385" t="s">
        <v>72</v>
      </c>
      <c r="B69" s="385" t="s">
        <v>74</v>
      </c>
      <c r="C69" s="385" t="s">
        <v>447</v>
      </c>
      <c r="D69" s="385" t="s">
        <v>380</v>
      </c>
      <c r="E69" s="385" t="s">
        <v>381</v>
      </c>
      <c r="F69" s="385" t="s">
        <v>427</v>
      </c>
      <c r="G69" s="385" t="s">
        <v>19</v>
      </c>
      <c r="H69" s="386">
        <v>19000</v>
      </c>
      <c r="I69" s="386">
        <v>0</v>
      </c>
      <c r="J69" s="386">
        <v>14686.5</v>
      </c>
      <c r="K69" s="386">
        <v>0</v>
      </c>
      <c r="L69" s="387" t="s">
        <v>428</v>
      </c>
    </row>
    <row r="70" spans="1:12" ht="25.5" hidden="1">
      <c r="A70" s="385" t="s">
        <v>72</v>
      </c>
      <c r="B70" s="385" t="s">
        <v>74</v>
      </c>
      <c r="C70" s="385" t="s">
        <v>447</v>
      </c>
      <c r="D70" s="385" t="s">
        <v>380</v>
      </c>
      <c r="E70" s="385" t="s">
        <v>381</v>
      </c>
      <c r="F70" s="385" t="s">
        <v>389</v>
      </c>
      <c r="G70" s="385" t="s">
        <v>19</v>
      </c>
      <c r="H70" s="386">
        <v>0</v>
      </c>
      <c r="I70" s="386">
        <v>0</v>
      </c>
      <c r="J70" s="386">
        <v>15500</v>
      </c>
      <c r="K70" s="386">
        <v>0</v>
      </c>
      <c r="L70" s="387" t="s">
        <v>390</v>
      </c>
    </row>
    <row r="71" spans="1:12" hidden="1">
      <c r="A71" s="385" t="s">
        <v>72</v>
      </c>
      <c r="B71" s="385" t="s">
        <v>74</v>
      </c>
      <c r="C71" s="385" t="s">
        <v>385</v>
      </c>
      <c r="D71" s="385" t="s">
        <v>397</v>
      </c>
      <c r="E71" s="385" t="s">
        <v>381</v>
      </c>
      <c r="F71" s="385" t="s">
        <v>386</v>
      </c>
      <c r="G71" s="385" t="s">
        <v>19</v>
      </c>
      <c r="H71" s="386">
        <v>0</v>
      </c>
      <c r="I71" s="386">
        <v>0</v>
      </c>
      <c r="J71" s="386">
        <v>2530.62</v>
      </c>
      <c r="K71" s="386">
        <v>0</v>
      </c>
      <c r="L71" s="387" t="s">
        <v>387</v>
      </c>
    </row>
    <row r="72" spans="1:12" hidden="1">
      <c r="A72" s="385" t="s">
        <v>72</v>
      </c>
      <c r="B72" s="385" t="s">
        <v>74</v>
      </c>
      <c r="C72" s="385" t="s">
        <v>448</v>
      </c>
      <c r="D72" s="385" t="s">
        <v>380</v>
      </c>
      <c r="E72" s="385" t="s">
        <v>381</v>
      </c>
      <c r="F72" s="385" t="s">
        <v>427</v>
      </c>
      <c r="G72" s="385" t="s">
        <v>19</v>
      </c>
      <c r="H72" s="386">
        <v>400000</v>
      </c>
      <c r="I72" s="386">
        <v>0</v>
      </c>
      <c r="J72" s="386">
        <v>225436.5</v>
      </c>
      <c r="K72" s="386">
        <v>0</v>
      </c>
      <c r="L72" s="387" t="s">
        <v>428</v>
      </c>
    </row>
    <row r="73" spans="1:12" hidden="1">
      <c r="A73" s="385" t="s">
        <v>72</v>
      </c>
      <c r="B73" s="385" t="s">
        <v>74</v>
      </c>
      <c r="C73" s="385" t="s">
        <v>429</v>
      </c>
      <c r="D73" s="385" t="s">
        <v>380</v>
      </c>
      <c r="E73" s="385" t="s">
        <v>381</v>
      </c>
      <c r="F73" s="385" t="s">
        <v>439</v>
      </c>
      <c r="G73" s="385" t="s">
        <v>19</v>
      </c>
      <c r="H73" s="386">
        <v>12000</v>
      </c>
      <c r="I73" s="386">
        <v>0</v>
      </c>
      <c r="J73" s="386">
        <v>7140</v>
      </c>
      <c r="K73" s="386">
        <v>0</v>
      </c>
      <c r="L73" s="387" t="s">
        <v>79</v>
      </c>
    </row>
    <row r="74" spans="1:12" hidden="1">
      <c r="A74" s="385" t="s">
        <v>72</v>
      </c>
      <c r="B74" s="385" t="s">
        <v>74</v>
      </c>
      <c r="C74" s="385" t="s">
        <v>391</v>
      </c>
      <c r="D74" s="385" t="s">
        <v>397</v>
      </c>
      <c r="E74" s="385" t="s">
        <v>381</v>
      </c>
      <c r="F74" s="385" t="s">
        <v>386</v>
      </c>
      <c r="G74" s="385" t="s">
        <v>19</v>
      </c>
      <c r="H74" s="386">
        <v>0</v>
      </c>
      <c r="I74" s="386">
        <v>0</v>
      </c>
      <c r="J74" s="386">
        <v>25641.19</v>
      </c>
      <c r="K74" s="386">
        <v>0</v>
      </c>
      <c r="L74" s="387" t="s">
        <v>387</v>
      </c>
    </row>
    <row r="75" spans="1:12" hidden="1">
      <c r="A75" s="385" t="s">
        <v>72</v>
      </c>
      <c r="B75" s="385" t="s">
        <v>74</v>
      </c>
      <c r="C75" s="385" t="s">
        <v>391</v>
      </c>
      <c r="D75" s="385" t="s">
        <v>397</v>
      </c>
      <c r="E75" s="385" t="s">
        <v>381</v>
      </c>
      <c r="F75" s="385" t="s">
        <v>427</v>
      </c>
      <c r="G75" s="385" t="s">
        <v>19</v>
      </c>
      <c r="H75" s="386">
        <v>0</v>
      </c>
      <c r="I75" s="386">
        <v>0</v>
      </c>
      <c r="J75" s="386">
        <v>0</v>
      </c>
      <c r="K75" s="386">
        <v>0</v>
      </c>
      <c r="L75" s="387" t="s">
        <v>428</v>
      </c>
    </row>
    <row r="76" spans="1:12" hidden="1">
      <c r="A76" s="385" t="s">
        <v>72</v>
      </c>
      <c r="B76" s="385" t="s">
        <v>74</v>
      </c>
      <c r="C76" s="385" t="s">
        <v>396</v>
      </c>
      <c r="D76" s="385" t="s">
        <v>380</v>
      </c>
      <c r="E76" s="385" t="s">
        <v>381</v>
      </c>
      <c r="F76" s="385" t="s">
        <v>427</v>
      </c>
      <c r="G76" s="385" t="s">
        <v>19</v>
      </c>
      <c r="H76" s="386">
        <v>50000</v>
      </c>
      <c r="I76" s="386">
        <v>0</v>
      </c>
      <c r="J76" s="386">
        <v>39284.620000000003</v>
      </c>
      <c r="K76" s="386">
        <v>0</v>
      </c>
      <c r="L76" s="387" t="s">
        <v>428</v>
      </c>
    </row>
    <row r="77" spans="1:12" hidden="1">
      <c r="A77" s="385" t="s">
        <v>72</v>
      </c>
      <c r="B77" s="385" t="s">
        <v>449</v>
      </c>
      <c r="C77" s="385" t="s">
        <v>450</v>
      </c>
      <c r="D77" s="385" t="s">
        <v>380</v>
      </c>
      <c r="E77" s="385" t="s">
        <v>381</v>
      </c>
      <c r="F77" s="385" t="s">
        <v>382</v>
      </c>
      <c r="G77" s="385" t="s">
        <v>19</v>
      </c>
      <c r="H77" s="386">
        <v>78593464.290000007</v>
      </c>
      <c r="I77" s="386">
        <v>0</v>
      </c>
      <c r="J77" s="386">
        <v>60456510</v>
      </c>
      <c r="K77" s="386">
        <v>0</v>
      </c>
      <c r="L77" s="387" t="s">
        <v>383</v>
      </c>
    </row>
    <row r="78" spans="1:12" hidden="1">
      <c r="A78" s="385" t="s">
        <v>72</v>
      </c>
      <c r="B78" s="385" t="s">
        <v>449</v>
      </c>
      <c r="C78" s="385" t="s">
        <v>451</v>
      </c>
      <c r="D78" s="385" t="s">
        <v>380</v>
      </c>
      <c r="E78" s="385" t="s">
        <v>381</v>
      </c>
      <c r="F78" s="385" t="s">
        <v>382</v>
      </c>
      <c r="G78" s="385" t="s">
        <v>19</v>
      </c>
      <c r="H78" s="386">
        <v>15100057.65</v>
      </c>
      <c r="I78" s="386">
        <v>0</v>
      </c>
      <c r="J78" s="386">
        <v>10066704</v>
      </c>
      <c r="K78" s="386">
        <v>0</v>
      </c>
      <c r="L78" s="387" t="s">
        <v>383</v>
      </c>
    </row>
    <row r="79" spans="1:12" hidden="1">
      <c r="A79" s="385" t="s">
        <v>452</v>
      </c>
      <c r="B79" s="385" t="s">
        <v>454</v>
      </c>
      <c r="C79" s="385" t="s">
        <v>742</v>
      </c>
      <c r="D79" s="385" t="s">
        <v>380</v>
      </c>
      <c r="E79" s="385" t="s">
        <v>381</v>
      </c>
      <c r="F79" s="385" t="s">
        <v>382</v>
      </c>
      <c r="G79" s="385" t="s">
        <v>19</v>
      </c>
      <c r="H79" s="386">
        <v>0</v>
      </c>
      <c r="I79" s="386">
        <v>0</v>
      </c>
      <c r="J79" s="386">
        <v>0</v>
      </c>
      <c r="K79" s="386">
        <v>0</v>
      </c>
      <c r="L79" s="387" t="s">
        <v>383</v>
      </c>
    </row>
    <row r="80" spans="1:12" hidden="1">
      <c r="A80" s="385" t="s">
        <v>452</v>
      </c>
      <c r="B80" s="385" t="s">
        <v>454</v>
      </c>
      <c r="C80" s="385" t="s">
        <v>453</v>
      </c>
      <c r="D80" s="385" t="s">
        <v>380</v>
      </c>
      <c r="E80" s="385" t="s">
        <v>381</v>
      </c>
      <c r="F80" s="385" t="s">
        <v>382</v>
      </c>
      <c r="G80" s="385" t="s">
        <v>19</v>
      </c>
      <c r="H80" s="386">
        <v>0</v>
      </c>
      <c r="I80" s="386">
        <v>0</v>
      </c>
      <c r="J80" s="386">
        <v>0</v>
      </c>
      <c r="K80" s="386">
        <v>0</v>
      </c>
      <c r="L80" s="387" t="s">
        <v>383</v>
      </c>
    </row>
    <row r="81" spans="1:12" hidden="1">
      <c r="A81" s="385" t="s">
        <v>452</v>
      </c>
      <c r="B81" s="385" t="s">
        <v>108</v>
      </c>
      <c r="C81" s="385" t="s">
        <v>385</v>
      </c>
      <c r="D81" s="385" t="s">
        <v>380</v>
      </c>
      <c r="E81" s="385" t="s">
        <v>381</v>
      </c>
      <c r="F81" s="385" t="s">
        <v>455</v>
      </c>
      <c r="G81" s="385" t="s">
        <v>19</v>
      </c>
      <c r="H81" s="386">
        <v>0</v>
      </c>
      <c r="I81" s="386">
        <v>0</v>
      </c>
      <c r="J81" s="386">
        <v>0</v>
      </c>
      <c r="K81" s="386">
        <v>0</v>
      </c>
      <c r="L81" s="387" t="s">
        <v>456</v>
      </c>
    </row>
    <row r="82" spans="1:12" hidden="1">
      <c r="A82" s="385" t="s">
        <v>452</v>
      </c>
      <c r="B82" s="385" t="s">
        <v>108</v>
      </c>
      <c r="C82" s="385" t="s">
        <v>429</v>
      </c>
      <c r="D82" s="385" t="s">
        <v>380</v>
      </c>
      <c r="E82" s="385" t="s">
        <v>381</v>
      </c>
      <c r="F82" s="385" t="s">
        <v>455</v>
      </c>
      <c r="G82" s="385" t="s">
        <v>19</v>
      </c>
      <c r="H82" s="386">
        <v>0</v>
      </c>
      <c r="I82" s="386">
        <v>0</v>
      </c>
      <c r="J82" s="386">
        <v>0</v>
      </c>
      <c r="K82" s="386">
        <v>0</v>
      </c>
      <c r="L82" s="387" t="s">
        <v>456</v>
      </c>
    </row>
    <row r="83" spans="1:12" hidden="1">
      <c r="A83" s="385" t="s">
        <v>452</v>
      </c>
      <c r="B83" s="385" t="s">
        <v>108</v>
      </c>
      <c r="C83" s="385" t="s">
        <v>391</v>
      </c>
      <c r="D83" s="385" t="s">
        <v>380</v>
      </c>
      <c r="E83" s="385" t="s">
        <v>381</v>
      </c>
      <c r="F83" s="385" t="s">
        <v>382</v>
      </c>
      <c r="G83" s="385" t="s">
        <v>19</v>
      </c>
      <c r="H83" s="386">
        <v>600000</v>
      </c>
      <c r="I83" s="386">
        <v>0</v>
      </c>
      <c r="J83" s="386">
        <v>1013914.01</v>
      </c>
      <c r="K83" s="386">
        <v>0</v>
      </c>
      <c r="L83" s="387" t="s">
        <v>383</v>
      </c>
    </row>
    <row r="84" spans="1:12" hidden="1">
      <c r="A84" s="385" t="s">
        <v>452</v>
      </c>
      <c r="B84" s="385" t="s">
        <v>108</v>
      </c>
      <c r="C84" s="385" t="s">
        <v>391</v>
      </c>
      <c r="D84" s="385" t="s">
        <v>380</v>
      </c>
      <c r="E84" s="385" t="s">
        <v>381</v>
      </c>
      <c r="F84" s="385" t="s">
        <v>473</v>
      </c>
      <c r="G84" s="385" t="s">
        <v>19</v>
      </c>
      <c r="H84" s="386">
        <v>0</v>
      </c>
      <c r="I84" s="386">
        <v>0</v>
      </c>
      <c r="J84" s="386">
        <v>8064.8</v>
      </c>
      <c r="K84" s="386">
        <v>0</v>
      </c>
      <c r="L84" s="387" t="s">
        <v>474</v>
      </c>
    </row>
    <row r="85" spans="1:12" hidden="1">
      <c r="A85" s="385" t="s">
        <v>452</v>
      </c>
      <c r="B85" s="385" t="s">
        <v>108</v>
      </c>
      <c r="C85" s="385" t="s">
        <v>391</v>
      </c>
      <c r="D85" s="385" t="s">
        <v>380</v>
      </c>
      <c r="E85" s="385" t="s">
        <v>381</v>
      </c>
      <c r="F85" s="385" t="s">
        <v>386</v>
      </c>
      <c r="G85" s="385" t="s">
        <v>19</v>
      </c>
      <c r="H85" s="386">
        <v>0</v>
      </c>
      <c r="I85" s="386">
        <v>0</v>
      </c>
      <c r="J85" s="386">
        <v>21468.05</v>
      </c>
      <c r="K85" s="386">
        <v>0</v>
      </c>
      <c r="L85" s="387" t="s">
        <v>387</v>
      </c>
    </row>
    <row r="86" spans="1:12" hidden="1">
      <c r="A86" s="385" t="s">
        <v>452</v>
      </c>
      <c r="B86" s="385" t="s">
        <v>108</v>
      </c>
      <c r="C86" s="385" t="s">
        <v>391</v>
      </c>
      <c r="D86" s="385" t="s">
        <v>380</v>
      </c>
      <c r="E86" s="385" t="s">
        <v>381</v>
      </c>
      <c r="F86" s="385" t="s">
        <v>667</v>
      </c>
      <c r="G86" s="385" t="s">
        <v>19</v>
      </c>
      <c r="H86" s="386">
        <v>0</v>
      </c>
      <c r="I86" s="386">
        <v>0</v>
      </c>
      <c r="J86" s="386">
        <v>5931.28</v>
      </c>
      <c r="K86" s="386">
        <v>0</v>
      </c>
      <c r="L86" s="387" t="s">
        <v>668</v>
      </c>
    </row>
    <row r="87" spans="1:12" ht="25.5" hidden="1">
      <c r="A87" s="385" t="s">
        <v>452</v>
      </c>
      <c r="B87" s="385" t="s">
        <v>108</v>
      </c>
      <c r="C87" s="385" t="s">
        <v>391</v>
      </c>
      <c r="D87" s="385" t="s">
        <v>380</v>
      </c>
      <c r="E87" s="385" t="s">
        <v>381</v>
      </c>
      <c r="F87" s="385" t="s">
        <v>671</v>
      </c>
      <c r="G87" s="385" t="s">
        <v>19</v>
      </c>
      <c r="H87" s="386">
        <v>0</v>
      </c>
      <c r="I87" s="386">
        <v>0</v>
      </c>
      <c r="J87" s="386">
        <v>8415.41</v>
      </c>
      <c r="K87" s="386">
        <v>0</v>
      </c>
      <c r="L87" s="387" t="s">
        <v>672</v>
      </c>
    </row>
    <row r="88" spans="1:12" ht="25.5" hidden="1">
      <c r="A88" s="385" t="s">
        <v>452</v>
      </c>
      <c r="B88" s="385" t="s">
        <v>108</v>
      </c>
      <c r="C88" s="385" t="s">
        <v>391</v>
      </c>
      <c r="D88" s="385" t="s">
        <v>380</v>
      </c>
      <c r="E88" s="385" t="s">
        <v>381</v>
      </c>
      <c r="F88" s="385" t="s">
        <v>459</v>
      </c>
      <c r="G88" s="385" t="s">
        <v>19</v>
      </c>
      <c r="H88" s="386">
        <v>0</v>
      </c>
      <c r="I88" s="386">
        <v>0</v>
      </c>
      <c r="J88" s="386">
        <v>5283.73</v>
      </c>
      <c r="K88" s="386">
        <v>0</v>
      </c>
      <c r="L88" s="387" t="s">
        <v>460</v>
      </c>
    </row>
    <row r="89" spans="1:12" ht="25.5" hidden="1">
      <c r="A89" s="385" t="s">
        <v>452</v>
      </c>
      <c r="B89" s="385" t="s">
        <v>108</v>
      </c>
      <c r="C89" s="385" t="s">
        <v>391</v>
      </c>
      <c r="D89" s="385" t="s">
        <v>380</v>
      </c>
      <c r="E89" s="385" t="s">
        <v>381</v>
      </c>
      <c r="F89" s="385" t="s">
        <v>457</v>
      </c>
      <c r="G89" s="385" t="s">
        <v>19</v>
      </c>
      <c r="H89" s="386">
        <v>0</v>
      </c>
      <c r="I89" s="386">
        <v>0</v>
      </c>
      <c r="J89" s="386">
        <v>36826.050000000003</v>
      </c>
      <c r="K89" s="386">
        <v>0</v>
      </c>
      <c r="L89" s="387" t="s">
        <v>458</v>
      </c>
    </row>
    <row r="90" spans="1:12" hidden="1">
      <c r="A90" s="385" t="s">
        <v>452</v>
      </c>
      <c r="B90" s="385" t="s">
        <v>108</v>
      </c>
      <c r="C90" s="385" t="s">
        <v>391</v>
      </c>
      <c r="D90" s="385" t="s">
        <v>380</v>
      </c>
      <c r="E90" s="385" t="s">
        <v>381</v>
      </c>
      <c r="F90" s="385" t="s">
        <v>455</v>
      </c>
      <c r="G90" s="385" t="s">
        <v>19</v>
      </c>
      <c r="H90" s="386">
        <v>0</v>
      </c>
      <c r="I90" s="386">
        <v>0</v>
      </c>
      <c r="J90" s="386">
        <v>1676.47</v>
      </c>
      <c r="K90" s="386">
        <v>0</v>
      </c>
      <c r="L90" s="387" t="s">
        <v>456</v>
      </c>
    </row>
    <row r="91" spans="1:12" hidden="1">
      <c r="A91" s="385" t="s">
        <v>452</v>
      </c>
      <c r="B91" s="385" t="s">
        <v>108</v>
      </c>
      <c r="C91" s="385" t="s">
        <v>391</v>
      </c>
      <c r="D91" s="385" t="s">
        <v>380</v>
      </c>
      <c r="E91" s="385" t="s">
        <v>381</v>
      </c>
      <c r="F91" s="385" t="s">
        <v>463</v>
      </c>
      <c r="G91" s="385" t="s">
        <v>19</v>
      </c>
      <c r="H91" s="386">
        <v>0</v>
      </c>
      <c r="I91" s="386">
        <v>0</v>
      </c>
      <c r="J91" s="386">
        <v>5553.16</v>
      </c>
      <c r="K91" s="386">
        <v>0</v>
      </c>
      <c r="L91" s="387" t="s">
        <v>464</v>
      </c>
    </row>
    <row r="92" spans="1:12" ht="25.5" hidden="1">
      <c r="A92" s="385" t="s">
        <v>452</v>
      </c>
      <c r="B92" s="385" t="s">
        <v>108</v>
      </c>
      <c r="C92" s="385" t="s">
        <v>391</v>
      </c>
      <c r="D92" s="385" t="s">
        <v>380</v>
      </c>
      <c r="E92" s="385" t="s">
        <v>381</v>
      </c>
      <c r="F92" s="385" t="s">
        <v>465</v>
      </c>
      <c r="G92" s="385" t="s">
        <v>19</v>
      </c>
      <c r="H92" s="386">
        <v>0</v>
      </c>
      <c r="I92" s="386">
        <v>0</v>
      </c>
      <c r="J92" s="386">
        <v>1711.68</v>
      </c>
      <c r="K92" s="386">
        <v>0</v>
      </c>
      <c r="L92" s="387" t="s">
        <v>466</v>
      </c>
    </row>
    <row r="93" spans="1:12" hidden="1">
      <c r="A93" s="385" t="s">
        <v>452</v>
      </c>
      <c r="B93" s="385" t="s">
        <v>108</v>
      </c>
      <c r="C93" s="385" t="s">
        <v>391</v>
      </c>
      <c r="D93" s="385" t="s">
        <v>380</v>
      </c>
      <c r="E93" s="385" t="s">
        <v>381</v>
      </c>
      <c r="F93" s="385" t="s">
        <v>467</v>
      </c>
      <c r="G93" s="385" t="s">
        <v>19</v>
      </c>
      <c r="H93" s="386">
        <v>0</v>
      </c>
      <c r="I93" s="386">
        <v>0</v>
      </c>
      <c r="J93" s="386">
        <v>18286.560000000001</v>
      </c>
      <c r="K93" s="386">
        <v>0</v>
      </c>
      <c r="L93" s="387" t="s">
        <v>353</v>
      </c>
    </row>
    <row r="94" spans="1:12" hidden="1">
      <c r="A94" s="385" t="s">
        <v>452</v>
      </c>
      <c r="B94" s="385" t="s">
        <v>108</v>
      </c>
      <c r="C94" s="385" t="s">
        <v>391</v>
      </c>
      <c r="D94" s="385" t="s">
        <v>380</v>
      </c>
      <c r="E94" s="385" t="s">
        <v>381</v>
      </c>
      <c r="F94" s="385" t="s">
        <v>461</v>
      </c>
      <c r="G94" s="385" t="s">
        <v>19</v>
      </c>
      <c r="H94" s="386">
        <v>0</v>
      </c>
      <c r="I94" s="386">
        <v>0</v>
      </c>
      <c r="J94" s="386">
        <v>2088.6</v>
      </c>
      <c r="K94" s="386">
        <v>0</v>
      </c>
      <c r="L94" s="387" t="s">
        <v>462</v>
      </c>
    </row>
    <row r="95" spans="1:12" ht="25.5" hidden="1">
      <c r="A95" s="385" t="s">
        <v>452</v>
      </c>
      <c r="B95" s="385" t="s">
        <v>108</v>
      </c>
      <c r="C95" s="385" t="s">
        <v>391</v>
      </c>
      <c r="D95" s="385" t="s">
        <v>380</v>
      </c>
      <c r="E95" s="385" t="s">
        <v>381</v>
      </c>
      <c r="F95" s="385" t="s">
        <v>468</v>
      </c>
      <c r="G95" s="385" t="s">
        <v>19</v>
      </c>
      <c r="H95" s="386">
        <v>0</v>
      </c>
      <c r="I95" s="386">
        <v>0</v>
      </c>
      <c r="J95" s="386">
        <v>1222.08</v>
      </c>
      <c r="K95" s="386">
        <v>0</v>
      </c>
      <c r="L95" s="387" t="s">
        <v>365</v>
      </c>
    </row>
    <row r="96" spans="1:12" ht="25.5" hidden="1">
      <c r="A96" s="385" t="s">
        <v>452</v>
      </c>
      <c r="B96" s="385" t="s">
        <v>108</v>
      </c>
      <c r="C96" s="385" t="s">
        <v>391</v>
      </c>
      <c r="D96" s="385" t="s">
        <v>380</v>
      </c>
      <c r="E96" s="385" t="s">
        <v>381</v>
      </c>
      <c r="F96" s="385" t="s">
        <v>469</v>
      </c>
      <c r="G96" s="385" t="s">
        <v>19</v>
      </c>
      <c r="H96" s="386">
        <v>0</v>
      </c>
      <c r="I96" s="386">
        <v>0</v>
      </c>
      <c r="J96" s="386">
        <v>1335.76</v>
      </c>
      <c r="K96" s="386">
        <v>0</v>
      </c>
      <c r="L96" s="387" t="s">
        <v>470</v>
      </c>
    </row>
    <row r="97" spans="1:12" hidden="1">
      <c r="A97" s="385" t="s">
        <v>452</v>
      </c>
      <c r="B97" s="385" t="s">
        <v>108</v>
      </c>
      <c r="C97" s="385" t="s">
        <v>391</v>
      </c>
      <c r="D97" s="385" t="s">
        <v>380</v>
      </c>
      <c r="E97" s="385" t="s">
        <v>381</v>
      </c>
      <c r="F97" s="385" t="s">
        <v>471</v>
      </c>
      <c r="G97" s="385" t="s">
        <v>19</v>
      </c>
      <c r="H97" s="386">
        <v>0</v>
      </c>
      <c r="I97" s="386">
        <v>0</v>
      </c>
      <c r="J97" s="386">
        <v>36301.03</v>
      </c>
      <c r="K97" s="386">
        <v>0</v>
      </c>
      <c r="L97" s="387" t="s">
        <v>472</v>
      </c>
    </row>
    <row r="98" spans="1:12" ht="25.5" hidden="1">
      <c r="A98" s="385" t="s">
        <v>452</v>
      </c>
      <c r="B98" s="385" t="s">
        <v>108</v>
      </c>
      <c r="C98" s="385" t="s">
        <v>391</v>
      </c>
      <c r="D98" s="385" t="s">
        <v>380</v>
      </c>
      <c r="E98" s="385" t="s">
        <v>381</v>
      </c>
      <c r="F98" s="385" t="s">
        <v>475</v>
      </c>
      <c r="G98" s="385" t="s">
        <v>19</v>
      </c>
      <c r="H98" s="386">
        <v>0</v>
      </c>
      <c r="I98" s="386">
        <v>0</v>
      </c>
      <c r="J98" s="386">
        <v>9435.15</v>
      </c>
      <c r="K98" s="386">
        <v>0</v>
      </c>
      <c r="L98" s="387" t="s">
        <v>476</v>
      </c>
    </row>
    <row r="99" spans="1:12" ht="25.5" hidden="1">
      <c r="A99" s="385" t="s">
        <v>452</v>
      </c>
      <c r="B99" s="385" t="s">
        <v>108</v>
      </c>
      <c r="C99" s="385" t="s">
        <v>391</v>
      </c>
      <c r="D99" s="385" t="s">
        <v>380</v>
      </c>
      <c r="E99" s="385" t="s">
        <v>381</v>
      </c>
      <c r="F99" s="385" t="s">
        <v>477</v>
      </c>
      <c r="G99" s="385" t="s">
        <v>19</v>
      </c>
      <c r="H99" s="386">
        <v>0</v>
      </c>
      <c r="I99" s="386">
        <v>0</v>
      </c>
      <c r="J99" s="386">
        <v>4756.58</v>
      </c>
      <c r="K99" s="386">
        <v>0</v>
      </c>
      <c r="L99" s="387" t="s">
        <v>478</v>
      </c>
    </row>
    <row r="100" spans="1:12" hidden="1">
      <c r="A100" s="385" t="s">
        <v>452</v>
      </c>
      <c r="B100" s="385" t="s">
        <v>108</v>
      </c>
      <c r="C100" s="385" t="s">
        <v>391</v>
      </c>
      <c r="D100" s="385" t="s">
        <v>380</v>
      </c>
      <c r="E100" s="385" t="s">
        <v>381</v>
      </c>
      <c r="F100" s="385" t="s">
        <v>479</v>
      </c>
      <c r="G100" s="385" t="s">
        <v>19</v>
      </c>
      <c r="H100" s="386">
        <v>0</v>
      </c>
      <c r="I100" s="386">
        <v>0</v>
      </c>
      <c r="J100" s="386">
        <v>2677.21</v>
      </c>
      <c r="K100" s="386">
        <v>0</v>
      </c>
      <c r="L100" s="387" t="s">
        <v>480</v>
      </c>
    </row>
    <row r="101" spans="1:12" ht="25.5" hidden="1">
      <c r="A101" s="385" t="s">
        <v>452</v>
      </c>
      <c r="B101" s="385" t="s">
        <v>108</v>
      </c>
      <c r="C101" s="385" t="s">
        <v>391</v>
      </c>
      <c r="D101" s="385" t="s">
        <v>380</v>
      </c>
      <c r="E101" s="385" t="s">
        <v>381</v>
      </c>
      <c r="F101" s="385" t="s">
        <v>669</v>
      </c>
      <c r="G101" s="385" t="s">
        <v>19</v>
      </c>
      <c r="H101" s="386">
        <v>0</v>
      </c>
      <c r="I101" s="386">
        <v>0</v>
      </c>
      <c r="J101" s="386">
        <v>8850.08</v>
      </c>
      <c r="K101" s="386">
        <v>0</v>
      </c>
      <c r="L101" s="387" t="s">
        <v>670</v>
      </c>
    </row>
    <row r="102" spans="1:12" hidden="1">
      <c r="A102" s="385" t="s">
        <v>452</v>
      </c>
      <c r="B102" s="385" t="s">
        <v>108</v>
      </c>
      <c r="C102" s="385" t="s">
        <v>396</v>
      </c>
      <c r="D102" s="385" t="s">
        <v>380</v>
      </c>
      <c r="E102" s="385" t="s">
        <v>381</v>
      </c>
      <c r="F102" s="385" t="s">
        <v>382</v>
      </c>
      <c r="G102" s="385" t="s">
        <v>19</v>
      </c>
      <c r="H102" s="386">
        <v>0</v>
      </c>
      <c r="I102" s="386">
        <v>0</v>
      </c>
      <c r="J102" s="386">
        <v>0</v>
      </c>
      <c r="K102" s="386">
        <v>0</v>
      </c>
      <c r="L102" s="387" t="s">
        <v>383</v>
      </c>
    </row>
    <row r="103" spans="1:12" hidden="1">
      <c r="A103" s="385" t="s">
        <v>452</v>
      </c>
      <c r="B103" s="385" t="s">
        <v>108</v>
      </c>
      <c r="C103" s="385" t="s">
        <v>481</v>
      </c>
      <c r="D103" s="385" t="s">
        <v>380</v>
      </c>
      <c r="E103" s="385" t="s">
        <v>381</v>
      </c>
      <c r="F103" s="385" t="s">
        <v>482</v>
      </c>
      <c r="G103" s="385" t="s">
        <v>19</v>
      </c>
      <c r="H103" s="386">
        <v>923826</v>
      </c>
      <c r="I103" s="386">
        <v>0</v>
      </c>
      <c r="J103" s="386">
        <v>923826</v>
      </c>
      <c r="K103" s="386">
        <v>0</v>
      </c>
      <c r="L103" s="387" t="s">
        <v>483</v>
      </c>
    </row>
    <row r="104" spans="1:12" hidden="1">
      <c r="A104" s="385" t="s">
        <v>452</v>
      </c>
      <c r="B104" s="385" t="s">
        <v>108</v>
      </c>
      <c r="C104" s="385" t="s">
        <v>743</v>
      </c>
      <c r="D104" s="385" t="s">
        <v>380</v>
      </c>
      <c r="E104" s="385" t="s">
        <v>381</v>
      </c>
      <c r="F104" s="385" t="s">
        <v>382</v>
      </c>
      <c r="G104" s="385" t="s">
        <v>19</v>
      </c>
      <c r="H104" s="386">
        <v>0</v>
      </c>
      <c r="I104" s="386">
        <v>0</v>
      </c>
      <c r="J104" s="386">
        <v>0</v>
      </c>
      <c r="K104" s="386">
        <v>0</v>
      </c>
      <c r="L104" s="387" t="s">
        <v>383</v>
      </c>
    </row>
    <row r="105" spans="1:12" hidden="1">
      <c r="A105" s="385" t="s">
        <v>452</v>
      </c>
      <c r="B105" s="385" t="s">
        <v>108</v>
      </c>
      <c r="C105" s="385" t="s">
        <v>744</v>
      </c>
      <c r="D105" s="385" t="s">
        <v>380</v>
      </c>
      <c r="E105" s="385" t="s">
        <v>381</v>
      </c>
      <c r="F105" s="385" t="s">
        <v>382</v>
      </c>
      <c r="G105" s="385" t="s">
        <v>19</v>
      </c>
      <c r="H105" s="386">
        <v>196800.8</v>
      </c>
      <c r="I105" s="386">
        <v>0</v>
      </c>
      <c r="J105" s="386">
        <v>196800.8</v>
      </c>
      <c r="K105" s="386">
        <v>0</v>
      </c>
      <c r="L105" s="387" t="s">
        <v>383</v>
      </c>
    </row>
    <row r="106" spans="1:12" ht="25.5" hidden="1">
      <c r="A106" s="385" t="s">
        <v>452</v>
      </c>
      <c r="B106" s="385" t="s">
        <v>484</v>
      </c>
      <c r="C106" s="385" t="s">
        <v>485</v>
      </c>
      <c r="D106" s="385" t="s">
        <v>380</v>
      </c>
      <c r="E106" s="385" t="s">
        <v>381</v>
      </c>
      <c r="F106" s="385" t="s">
        <v>459</v>
      </c>
      <c r="G106" s="385" t="s">
        <v>19</v>
      </c>
      <c r="H106" s="386">
        <v>0</v>
      </c>
      <c r="I106" s="386">
        <v>0</v>
      </c>
      <c r="J106" s="386">
        <v>0</v>
      </c>
      <c r="K106" s="386">
        <v>0</v>
      </c>
      <c r="L106" s="387" t="s">
        <v>460</v>
      </c>
    </row>
    <row r="107" spans="1:12" hidden="1">
      <c r="A107" s="385" t="s">
        <v>452</v>
      </c>
      <c r="B107" s="385" t="s">
        <v>745</v>
      </c>
      <c r="C107" s="385" t="s">
        <v>453</v>
      </c>
      <c r="D107" s="385" t="s">
        <v>380</v>
      </c>
      <c r="E107" s="385" t="s">
        <v>381</v>
      </c>
      <c r="F107" s="385" t="s">
        <v>382</v>
      </c>
      <c r="G107" s="385" t="s">
        <v>19</v>
      </c>
      <c r="H107" s="386">
        <v>18865641.41</v>
      </c>
      <c r="I107" s="386">
        <v>0</v>
      </c>
      <c r="J107" s="386">
        <v>14512031.9</v>
      </c>
      <c r="K107" s="386">
        <v>0</v>
      </c>
      <c r="L107" s="387" t="s">
        <v>383</v>
      </c>
    </row>
    <row r="108" spans="1:12" hidden="1">
      <c r="A108" s="385" t="s">
        <v>452</v>
      </c>
      <c r="B108" s="385" t="s">
        <v>746</v>
      </c>
      <c r="C108" s="385" t="s">
        <v>742</v>
      </c>
      <c r="D108" s="385" t="s">
        <v>380</v>
      </c>
      <c r="E108" s="385" t="s">
        <v>381</v>
      </c>
      <c r="F108" s="385" t="s">
        <v>382</v>
      </c>
      <c r="G108" s="385" t="s">
        <v>19</v>
      </c>
      <c r="H108" s="386">
        <v>1245287.3999999999</v>
      </c>
      <c r="I108" s="386">
        <v>0</v>
      </c>
      <c r="J108" s="386">
        <v>865008.96</v>
      </c>
      <c r="K108" s="386">
        <v>0</v>
      </c>
      <c r="L108" s="387" t="s">
        <v>383</v>
      </c>
    </row>
    <row r="109" spans="1:12" ht="25.5" hidden="1">
      <c r="A109" s="385" t="s">
        <v>345</v>
      </c>
      <c r="B109" s="385" t="s">
        <v>486</v>
      </c>
      <c r="C109" s="385" t="s">
        <v>446</v>
      </c>
      <c r="D109" s="385" t="s">
        <v>380</v>
      </c>
      <c r="E109" s="385" t="s">
        <v>381</v>
      </c>
      <c r="F109" s="385" t="s">
        <v>477</v>
      </c>
      <c r="G109" s="385" t="s">
        <v>19</v>
      </c>
      <c r="H109" s="386">
        <v>0</v>
      </c>
      <c r="I109" s="386">
        <v>0</v>
      </c>
      <c r="J109" s="386">
        <v>44</v>
      </c>
      <c r="K109" s="386">
        <v>0</v>
      </c>
      <c r="L109" s="387" t="s">
        <v>478</v>
      </c>
    </row>
    <row r="110" spans="1:12" ht="25.5" hidden="1">
      <c r="A110" s="385" t="s">
        <v>345</v>
      </c>
      <c r="B110" s="385" t="s">
        <v>486</v>
      </c>
      <c r="C110" s="385" t="s">
        <v>413</v>
      </c>
      <c r="D110" s="385" t="s">
        <v>380</v>
      </c>
      <c r="E110" s="385" t="s">
        <v>381</v>
      </c>
      <c r="F110" s="385" t="s">
        <v>477</v>
      </c>
      <c r="G110" s="385" t="s">
        <v>19</v>
      </c>
      <c r="H110" s="386">
        <v>28000</v>
      </c>
      <c r="I110" s="386">
        <v>0</v>
      </c>
      <c r="J110" s="386">
        <v>18529.91</v>
      </c>
      <c r="K110" s="386">
        <v>0</v>
      </c>
      <c r="L110" s="387" t="s">
        <v>478</v>
      </c>
    </row>
    <row r="111" spans="1:12" ht="25.5" hidden="1">
      <c r="A111" s="385" t="s">
        <v>345</v>
      </c>
      <c r="B111" s="385" t="s">
        <v>486</v>
      </c>
      <c r="C111" s="385" t="s">
        <v>391</v>
      </c>
      <c r="D111" s="385" t="s">
        <v>380</v>
      </c>
      <c r="E111" s="385" t="s">
        <v>381</v>
      </c>
      <c r="F111" s="385" t="s">
        <v>477</v>
      </c>
      <c r="G111" s="385" t="s">
        <v>19</v>
      </c>
      <c r="H111" s="386">
        <v>0</v>
      </c>
      <c r="I111" s="386">
        <v>0</v>
      </c>
      <c r="J111" s="386">
        <v>11.9</v>
      </c>
      <c r="K111" s="386">
        <v>0</v>
      </c>
      <c r="L111" s="387" t="s">
        <v>478</v>
      </c>
    </row>
    <row r="112" spans="1:12" hidden="1">
      <c r="A112" s="385" t="s">
        <v>345</v>
      </c>
      <c r="B112" s="385" t="s">
        <v>120</v>
      </c>
      <c r="C112" s="385" t="s">
        <v>446</v>
      </c>
      <c r="D112" s="385" t="s">
        <v>380</v>
      </c>
      <c r="E112" s="385" t="s">
        <v>381</v>
      </c>
      <c r="F112" s="385" t="s">
        <v>471</v>
      </c>
      <c r="G112" s="385" t="s">
        <v>19</v>
      </c>
      <c r="H112" s="386">
        <v>0</v>
      </c>
      <c r="I112" s="386">
        <v>0</v>
      </c>
      <c r="J112" s="386">
        <v>208</v>
      </c>
      <c r="K112" s="386">
        <v>0</v>
      </c>
      <c r="L112" s="387" t="s">
        <v>472</v>
      </c>
    </row>
    <row r="113" spans="1:12" hidden="1">
      <c r="A113" s="385" t="s">
        <v>345</v>
      </c>
      <c r="B113" s="385" t="s">
        <v>120</v>
      </c>
      <c r="C113" s="385" t="s">
        <v>446</v>
      </c>
      <c r="D113" s="385" t="s">
        <v>380</v>
      </c>
      <c r="E113" s="385" t="s">
        <v>381</v>
      </c>
      <c r="F113" s="385" t="s">
        <v>473</v>
      </c>
      <c r="G113" s="385" t="s">
        <v>19</v>
      </c>
      <c r="H113" s="386">
        <v>0</v>
      </c>
      <c r="I113" s="386">
        <v>0</v>
      </c>
      <c r="J113" s="386">
        <v>572</v>
      </c>
      <c r="K113" s="386">
        <v>0</v>
      </c>
      <c r="L113" s="387" t="s">
        <v>474</v>
      </c>
    </row>
    <row r="114" spans="1:12" hidden="1">
      <c r="A114" s="385" t="s">
        <v>345</v>
      </c>
      <c r="B114" s="385" t="s">
        <v>120</v>
      </c>
      <c r="C114" s="385" t="s">
        <v>412</v>
      </c>
      <c r="D114" s="385" t="s">
        <v>380</v>
      </c>
      <c r="E114" s="385" t="s">
        <v>381</v>
      </c>
      <c r="F114" s="385" t="s">
        <v>471</v>
      </c>
      <c r="G114" s="385" t="s">
        <v>19</v>
      </c>
      <c r="H114" s="386">
        <v>0</v>
      </c>
      <c r="I114" s="386">
        <v>0</v>
      </c>
      <c r="J114" s="386">
        <v>435.17</v>
      </c>
      <c r="K114" s="386">
        <v>0</v>
      </c>
      <c r="L114" s="387" t="s">
        <v>472</v>
      </c>
    </row>
    <row r="115" spans="1:12" hidden="1">
      <c r="A115" s="385" t="s">
        <v>345</v>
      </c>
      <c r="B115" s="385" t="s">
        <v>120</v>
      </c>
      <c r="C115" s="385" t="s">
        <v>429</v>
      </c>
      <c r="D115" s="385" t="s">
        <v>380</v>
      </c>
      <c r="E115" s="385" t="s">
        <v>381</v>
      </c>
      <c r="F115" s="385" t="s">
        <v>471</v>
      </c>
      <c r="G115" s="385" t="s">
        <v>19</v>
      </c>
      <c r="H115" s="386">
        <v>0</v>
      </c>
      <c r="I115" s="386">
        <v>0</v>
      </c>
      <c r="J115" s="386">
        <v>283</v>
      </c>
      <c r="K115" s="386">
        <v>0</v>
      </c>
      <c r="L115" s="387" t="s">
        <v>472</v>
      </c>
    </row>
    <row r="116" spans="1:12" hidden="1">
      <c r="A116" s="385" t="s">
        <v>345</v>
      </c>
      <c r="B116" s="385" t="s">
        <v>120</v>
      </c>
      <c r="C116" s="385" t="s">
        <v>429</v>
      </c>
      <c r="D116" s="385" t="s">
        <v>380</v>
      </c>
      <c r="E116" s="385" t="s">
        <v>381</v>
      </c>
      <c r="F116" s="385" t="s">
        <v>473</v>
      </c>
      <c r="G116" s="385" t="s">
        <v>19</v>
      </c>
      <c r="H116" s="386">
        <v>0</v>
      </c>
      <c r="I116" s="386">
        <v>0</v>
      </c>
      <c r="J116" s="386">
        <v>405</v>
      </c>
      <c r="K116" s="386">
        <v>0</v>
      </c>
      <c r="L116" s="387" t="s">
        <v>474</v>
      </c>
    </row>
    <row r="117" spans="1:12" hidden="1">
      <c r="A117" s="385" t="s">
        <v>345</v>
      </c>
      <c r="B117" s="385" t="s">
        <v>120</v>
      </c>
      <c r="C117" s="385" t="s">
        <v>413</v>
      </c>
      <c r="D117" s="385" t="s">
        <v>380</v>
      </c>
      <c r="E117" s="385" t="s">
        <v>381</v>
      </c>
      <c r="F117" s="385" t="s">
        <v>473</v>
      </c>
      <c r="G117" s="385" t="s">
        <v>19</v>
      </c>
      <c r="H117" s="386">
        <v>35316</v>
      </c>
      <c r="I117" s="386">
        <v>0</v>
      </c>
      <c r="J117" s="386">
        <v>34572.29</v>
      </c>
      <c r="K117" s="386">
        <v>0</v>
      </c>
      <c r="L117" s="387" t="s">
        <v>474</v>
      </c>
    </row>
    <row r="118" spans="1:12" hidden="1">
      <c r="A118" s="385" t="s">
        <v>345</v>
      </c>
      <c r="B118" s="385" t="s">
        <v>120</v>
      </c>
      <c r="C118" s="385" t="s">
        <v>413</v>
      </c>
      <c r="D118" s="385" t="s">
        <v>380</v>
      </c>
      <c r="E118" s="385" t="s">
        <v>381</v>
      </c>
      <c r="F118" s="385" t="s">
        <v>471</v>
      </c>
      <c r="G118" s="385" t="s">
        <v>19</v>
      </c>
      <c r="H118" s="386">
        <v>13800</v>
      </c>
      <c r="I118" s="386">
        <v>0</v>
      </c>
      <c r="J118" s="386">
        <v>17512.439999999999</v>
      </c>
      <c r="K118" s="386">
        <v>0</v>
      </c>
      <c r="L118" s="387" t="s">
        <v>472</v>
      </c>
    </row>
    <row r="119" spans="1:12" hidden="1">
      <c r="A119" s="385" t="s">
        <v>345</v>
      </c>
      <c r="B119" s="385" t="s">
        <v>120</v>
      </c>
      <c r="C119" s="385" t="s">
        <v>430</v>
      </c>
      <c r="D119" s="385" t="s">
        <v>380</v>
      </c>
      <c r="E119" s="385" t="s">
        <v>381</v>
      </c>
      <c r="F119" s="385" t="s">
        <v>473</v>
      </c>
      <c r="G119" s="385" t="s">
        <v>19</v>
      </c>
      <c r="H119" s="386">
        <v>4000</v>
      </c>
      <c r="I119" s="386">
        <v>0</v>
      </c>
      <c r="J119" s="386">
        <v>5196.92</v>
      </c>
      <c r="K119" s="386">
        <v>0</v>
      </c>
      <c r="L119" s="387" t="s">
        <v>474</v>
      </c>
    </row>
    <row r="120" spans="1:12" hidden="1">
      <c r="A120" s="385" t="s">
        <v>345</v>
      </c>
      <c r="B120" s="385" t="s">
        <v>120</v>
      </c>
      <c r="C120" s="385" t="s">
        <v>388</v>
      </c>
      <c r="D120" s="385" t="s">
        <v>380</v>
      </c>
      <c r="E120" s="385" t="s">
        <v>381</v>
      </c>
      <c r="F120" s="385" t="s">
        <v>473</v>
      </c>
      <c r="G120" s="385" t="s">
        <v>19</v>
      </c>
      <c r="H120" s="386">
        <v>0</v>
      </c>
      <c r="I120" s="386">
        <v>0</v>
      </c>
      <c r="J120" s="386">
        <v>144</v>
      </c>
      <c r="K120" s="386">
        <v>0</v>
      </c>
      <c r="L120" s="387" t="s">
        <v>474</v>
      </c>
    </row>
    <row r="121" spans="1:12" hidden="1">
      <c r="A121" s="385" t="s">
        <v>345</v>
      </c>
      <c r="B121" s="385" t="s">
        <v>120</v>
      </c>
      <c r="C121" s="385" t="s">
        <v>391</v>
      </c>
      <c r="D121" s="385" t="s">
        <v>380</v>
      </c>
      <c r="E121" s="385" t="s">
        <v>381</v>
      </c>
      <c r="F121" s="385" t="s">
        <v>471</v>
      </c>
      <c r="G121" s="385" t="s">
        <v>19</v>
      </c>
      <c r="H121" s="386">
        <v>0</v>
      </c>
      <c r="I121" s="386">
        <v>0</v>
      </c>
      <c r="J121" s="386">
        <v>95.29</v>
      </c>
      <c r="K121" s="386">
        <v>0</v>
      </c>
      <c r="L121" s="387" t="s">
        <v>472</v>
      </c>
    </row>
    <row r="122" spans="1:12" hidden="1">
      <c r="A122" s="385" t="s">
        <v>345</v>
      </c>
      <c r="B122" s="385" t="s">
        <v>120</v>
      </c>
      <c r="C122" s="385" t="s">
        <v>394</v>
      </c>
      <c r="D122" s="385" t="s">
        <v>380</v>
      </c>
      <c r="E122" s="385" t="s">
        <v>381</v>
      </c>
      <c r="F122" s="385" t="s">
        <v>473</v>
      </c>
      <c r="G122" s="385" t="s">
        <v>19</v>
      </c>
      <c r="H122" s="386">
        <v>0</v>
      </c>
      <c r="I122" s="386">
        <v>0</v>
      </c>
      <c r="J122" s="386">
        <v>359.21</v>
      </c>
      <c r="K122" s="386">
        <v>0</v>
      </c>
      <c r="L122" s="387" t="s">
        <v>474</v>
      </c>
    </row>
    <row r="123" spans="1:12" hidden="1">
      <c r="A123" s="385" t="s">
        <v>345</v>
      </c>
      <c r="B123" s="385" t="s">
        <v>120</v>
      </c>
      <c r="C123" s="385" t="s">
        <v>394</v>
      </c>
      <c r="D123" s="385" t="s">
        <v>380</v>
      </c>
      <c r="E123" s="385" t="s">
        <v>381</v>
      </c>
      <c r="F123" s="385" t="s">
        <v>471</v>
      </c>
      <c r="G123" s="385" t="s">
        <v>19</v>
      </c>
      <c r="H123" s="386">
        <v>0</v>
      </c>
      <c r="I123" s="386">
        <v>0</v>
      </c>
      <c r="J123" s="386">
        <v>205.33</v>
      </c>
      <c r="K123" s="386">
        <v>0</v>
      </c>
      <c r="L123" s="387" t="s">
        <v>472</v>
      </c>
    </row>
    <row r="124" spans="1:12" hidden="1">
      <c r="A124" s="385" t="s">
        <v>345</v>
      </c>
      <c r="B124" s="385" t="s">
        <v>120</v>
      </c>
      <c r="C124" s="385" t="s">
        <v>395</v>
      </c>
      <c r="D124" s="385" t="s">
        <v>380</v>
      </c>
      <c r="E124" s="385" t="s">
        <v>381</v>
      </c>
      <c r="F124" s="385" t="s">
        <v>473</v>
      </c>
      <c r="G124" s="385" t="s">
        <v>19</v>
      </c>
      <c r="H124" s="386">
        <v>0</v>
      </c>
      <c r="I124" s="386">
        <v>0</v>
      </c>
      <c r="J124" s="386">
        <v>725</v>
      </c>
      <c r="K124" s="386">
        <v>0</v>
      </c>
      <c r="L124" s="387" t="s">
        <v>474</v>
      </c>
    </row>
    <row r="125" spans="1:12" hidden="1">
      <c r="A125" s="385" t="s">
        <v>345</v>
      </c>
      <c r="B125" s="385" t="s">
        <v>120</v>
      </c>
      <c r="C125" s="385" t="s">
        <v>396</v>
      </c>
      <c r="D125" s="385" t="s">
        <v>380</v>
      </c>
      <c r="E125" s="385" t="s">
        <v>381</v>
      </c>
      <c r="F125" s="385" t="s">
        <v>471</v>
      </c>
      <c r="G125" s="385" t="s">
        <v>19</v>
      </c>
      <c r="H125" s="386">
        <v>3100</v>
      </c>
      <c r="I125" s="386">
        <v>0</v>
      </c>
      <c r="J125" s="386">
        <v>5649.49</v>
      </c>
      <c r="K125" s="386">
        <v>0</v>
      </c>
      <c r="L125" s="387" t="s">
        <v>472</v>
      </c>
    </row>
    <row r="126" spans="1:12" hidden="1">
      <c r="A126" s="385" t="s">
        <v>345</v>
      </c>
      <c r="B126" s="385" t="s">
        <v>126</v>
      </c>
      <c r="C126" s="385" t="s">
        <v>446</v>
      </c>
      <c r="D126" s="385" t="s">
        <v>380</v>
      </c>
      <c r="E126" s="385" t="s">
        <v>381</v>
      </c>
      <c r="F126" s="385" t="s">
        <v>471</v>
      </c>
      <c r="G126" s="385" t="s">
        <v>19</v>
      </c>
      <c r="H126" s="386">
        <v>0</v>
      </c>
      <c r="I126" s="386">
        <v>0</v>
      </c>
      <c r="J126" s="386">
        <v>104</v>
      </c>
      <c r="K126" s="386">
        <v>0</v>
      </c>
      <c r="L126" s="387" t="s">
        <v>472</v>
      </c>
    </row>
    <row r="127" spans="1:12" hidden="1">
      <c r="A127" s="385" t="s">
        <v>345</v>
      </c>
      <c r="B127" s="385" t="s">
        <v>126</v>
      </c>
      <c r="C127" s="385" t="s">
        <v>412</v>
      </c>
      <c r="D127" s="385" t="s">
        <v>380</v>
      </c>
      <c r="E127" s="385" t="s">
        <v>381</v>
      </c>
      <c r="F127" s="385" t="s">
        <v>471</v>
      </c>
      <c r="G127" s="385" t="s">
        <v>19</v>
      </c>
      <c r="H127" s="386">
        <v>0</v>
      </c>
      <c r="I127" s="386">
        <v>0</v>
      </c>
      <c r="J127" s="386">
        <v>318.5</v>
      </c>
      <c r="K127" s="386">
        <v>0</v>
      </c>
      <c r="L127" s="387" t="s">
        <v>472</v>
      </c>
    </row>
    <row r="128" spans="1:12" hidden="1">
      <c r="A128" s="385" t="s">
        <v>345</v>
      </c>
      <c r="B128" s="385" t="s">
        <v>126</v>
      </c>
      <c r="C128" s="385" t="s">
        <v>413</v>
      </c>
      <c r="D128" s="385" t="s">
        <v>380</v>
      </c>
      <c r="E128" s="385" t="s">
        <v>381</v>
      </c>
      <c r="F128" s="385" t="s">
        <v>471</v>
      </c>
      <c r="G128" s="385" t="s">
        <v>19</v>
      </c>
      <c r="H128" s="386">
        <v>10000</v>
      </c>
      <c r="I128" s="386">
        <v>0</v>
      </c>
      <c r="J128" s="386">
        <v>14609.86</v>
      </c>
      <c r="K128" s="386">
        <v>0</v>
      </c>
      <c r="L128" s="387" t="s">
        <v>472</v>
      </c>
    </row>
    <row r="129" spans="1:12" hidden="1">
      <c r="A129" s="385" t="s">
        <v>345</v>
      </c>
      <c r="B129" s="385" t="s">
        <v>126</v>
      </c>
      <c r="C129" s="385" t="s">
        <v>391</v>
      </c>
      <c r="D129" s="385" t="s">
        <v>380</v>
      </c>
      <c r="E129" s="385" t="s">
        <v>381</v>
      </c>
      <c r="F129" s="385" t="s">
        <v>471</v>
      </c>
      <c r="G129" s="385" t="s">
        <v>19</v>
      </c>
      <c r="H129" s="386">
        <v>0</v>
      </c>
      <c r="I129" s="386">
        <v>0</v>
      </c>
      <c r="J129" s="386">
        <v>87.47</v>
      </c>
      <c r="K129" s="386">
        <v>0</v>
      </c>
      <c r="L129" s="387" t="s">
        <v>472</v>
      </c>
    </row>
    <row r="130" spans="1:12" hidden="1">
      <c r="A130" s="385" t="s">
        <v>345</v>
      </c>
      <c r="B130" s="385" t="s">
        <v>126</v>
      </c>
      <c r="C130" s="385" t="s">
        <v>396</v>
      </c>
      <c r="D130" s="385" t="s">
        <v>380</v>
      </c>
      <c r="E130" s="385" t="s">
        <v>381</v>
      </c>
      <c r="F130" s="385" t="s">
        <v>471</v>
      </c>
      <c r="G130" s="385" t="s">
        <v>19</v>
      </c>
      <c r="H130" s="386">
        <v>0</v>
      </c>
      <c r="I130" s="386">
        <v>0</v>
      </c>
      <c r="J130" s="386">
        <v>234.96</v>
      </c>
      <c r="K130" s="386">
        <v>0</v>
      </c>
      <c r="L130" s="387" t="s">
        <v>472</v>
      </c>
    </row>
    <row r="131" spans="1:12" hidden="1">
      <c r="A131" s="385" t="s">
        <v>345</v>
      </c>
      <c r="B131" s="385" t="s">
        <v>126</v>
      </c>
      <c r="C131" s="385" t="s">
        <v>487</v>
      </c>
      <c r="D131" s="385" t="s">
        <v>380</v>
      </c>
      <c r="E131" s="385" t="s">
        <v>381</v>
      </c>
      <c r="F131" s="385" t="s">
        <v>382</v>
      </c>
      <c r="G131" s="385" t="s">
        <v>19</v>
      </c>
      <c r="H131" s="386">
        <v>12000</v>
      </c>
      <c r="I131" s="386">
        <v>0</v>
      </c>
      <c r="J131" s="386">
        <v>12000</v>
      </c>
      <c r="K131" s="386">
        <v>0</v>
      </c>
      <c r="L131" s="387" t="s">
        <v>383</v>
      </c>
    </row>
    <row r="132" spans="1:12" hidden="1">
      <c r="A132" s="385" t="s">
        <v>345</v>
      </c>
      <c r="B132" s="385" t="s">
        <v>490</v>
      </c>
      <c r="C132" s="385" t="s">
        <v>446</v>
      </c>
      <c r="D132" s="385" t="s">
        <v>380</v>
      </c>
      <c r="E132" s="385" t="s">
        <v>381</v>
      </c>
      <c r="F132" s="385" t="s">
        <v>479</v>
      </c>
      <c r="G132" s="385" t="s">
        <v>19</v>
      </c>
      <c r="H132" s="386">
        <v>260</v>
      </c>
      <c r="I132" s="386">
        <v>0</v>
      </c>
      <c r="J132" s="386">
        <v>494</v>
      </c>
      <c r="K132" s="386">
        <v>0</v>
      </c>
      <c r="L132" s="387" t="s">
        <v>480</v>
      </c>
    </row>
    <row r="133" spans="1:12" hidden="1">
      <c r="A133" s="385" t="s">
        <v>345</v>
      </c>
      <c r="B133" s="385" t="s">
        <v>490</v>
      </c>
      <c r="C133" s="385" t="s">
        <v>446</v>
      </c>
      <c r="D133" s="385" t="s">
        <v>380</v>
      </c>
      <c r="E133" s="385" t="s">
        <v>381</v>
      </c>
      <c r="F133" s="385" t="s">
        <v>471</v>
      </c>
      <c r="G133" s="385" t="s">
        <v>19</v>
      </c>
      <c r="H133" s="386">
        <v>0</v>
      </c>
      <c r="I133" s="386">
        <v>0</v>
      </c>
      <c r="J133" s="386">
        <v>364</v>
      </c>
      <c r="K133" s="386">
        <v>0</v>
      </c>
      <c r="L133" s="387" t="s">
        <v>472</v>
      </c>
    </row>
    <row r="134" spans="1:12" hidden="1">
      <c r="A134" s="385" t="s">
        <v>345</v>
      </c>
      <c r="B134" s="385" t="s">
        <v>490</v>
      </c>
      <c r="C134" s="385" t="s">
        <v>429</v>
      </c>
      <c r="D134" s="385" t="s">
        <v>380</v>
      </c>
      <c r="E134" s="385" t="s">
        <v>381</v>
      </c>
      <c r="F134" s="385" t="s">
        <v>479</v>
      </c>
      <c r="G134" s="385" t="s">
        <v>19</v>
      </c>
      <c r="H134" s="386">
        <v>90</v>
      </c>
      <c r="I134" s="386">
        <v>0</v>
      </c>
      <c r="J134" s="386">
        <v>171</v>
      </c>
      <c r="K134" s="386">
        <v>0</v>
      </c>
      <c r="L134" s="387" t="s">
        <v>480</v>
      </c>
    </row>
    <row r="135" spans="1:12" hidden="1">
      <c r="A135" s="385" t="s">
        <v>345</v>
      </c>
      <c r="B135" s="385" t="s">
        <v>490</v>
      </c>
      <c r="C135" s="385" t="s">
        <v>429</v>
      </c>
      <c r="D135" s="385" t="s">
        <v>380</v>
      </c>
      <c r="E135" s="385" t="s">
        <v>381</v>
      </c>
      <c r="F135" s="385" t="s">
        <v>471</v>
      </c>
      <c r="G135" s="385" t="s">
        <v>19</v>
      </c>
      <c r="H135" s="386">
        <v>0</v>
      </c>
      <c r="I135" s="386">
        <v>0</v>
      </c>
      <c r="J135" s="386">
        <v>27</v>
      </c>
      <c r="K135" s="386">
        <v>0</v>
      </c>
      <c r="L135" s="387" t="s">
        <v>472</v>
      </c>
    </row>
    <row r="136" spans="1:12" hidden="1">
      <c r="A136" s="385" t="s">
        <v>345</v>
      </c>
      <c r="B136" s="385" t="s">
        <v>490</v>
      </c>
      <c r="C136" s="385" t="s">
        <v>413</v>
      </c>
      <c r="D136" s="385" t="s">
        <v>380</v>
      </c>
      <c r="E136" s="385" t="s">
        <v>381</v>
      </c>
      <c r="F136" s="385" t="s">
        <v>479</v>
      </c>
      <c r="G136" s="385" t="s">
        <v>19</v>
      </c>
      <c r="H136" s="386">
        <v>17000</v>
      </c>
      <c r="I136" s="386">
        <v>0</v>
      </c>
      <c r="J136" s="386">
        <v>6357.69</v>
      </c>
      <c r="K136" s="386">
        <v>0</v>
      </c>
      <c r="L136" s="387" t="s">
        <v>480</v>
      </c>
    </row>
    <row r="137" spans="1:12" hidden="1">
      <c r="A137" s="385" t="s">
        <v>345</v>
      </c>
      <c r="B137" s="385" t="s">
        <v>490</v>
      </c>
      <c r="C137" s="385" t="s">
        <v>413</v>
      </c>
      <c r="D137" s="385" t="s">
        <v>380</v>
      </c>
      <c r="E137" s="385" t="s">
        <v>381</v>
      </c>
      <c r="F137" s="385" t="s">
        <v>471</v>
      </c>
      <c r="G137" s="385" t="s">
        <v>19</v>
      </c>
      <c r="H137" s="386">
        <v>22000</v>
      </c>
      <c r="I137" s="386">
        <v>0</v>
      </c>
      <c r="J137" s="386">
        <v>24697.45</v>
      </c>
      <c r="K137" s="386">
        <v>0</v>
      </c>
      <c r="L137" s="387" t="s">
        <v>472</v>
      </c>
    </row>
    <row r="138" spans="1:12" hidden="1">
      <c r="A138" s="385" t="s">
        <v>345</v>
      </c>
      <c r="B138" s="385" t="s">
        <v>490</v>
      </c>
      <c r="C138" s="385" t="s">
        <v>391</v>
      </c>
      <c r="D138" s="385" t="s">
        <v>380</v>
      </c>
      <c r="E138" s="385" t="s">
        <v>381</v>
      </c>
      <c r="F138" s="385" t="s">
        <v>471</v>
      </c>
      <c r="G138" s="385" t="s">
        <v>19</v>
      </c>
      <c r="H138" s="386">
        <v>0</v>
      </c>
      <c r="I138" s="386">
        <v>0</v>
      </c>
      <c r="J138" s="386">
        <v>26.95</v>
      </c>
      <c r="K138" s="386">
        <v>0</v>
      </c>
      <c r="L138" s="387" t="s">
        <v>472</v>
      </c>
    </row>
    <row r="139" spans="1:12" hidden="1">
      <c r="A139" s="385" t="s">
        <v>345</v>
      </c>
      <c r="B139" s="385" t="s">
        <v>490</v>
      </c>
      <c r="C139" s="385" t="s">
        <v>394</v>
      </c>
      <c r="D139" s="385" t="s">
        <v>380</v>
      </c>
      <c r="E139" s="385" t="s">
        <v>381</v>
      </c>
      <c r="F139" s="385" t="s">
        <v>471</v>
      </c>
      <c r="G139" s="385" t="s">
        <v>19</v>
      </c>
      <c r="H139" s="386">
        <v>0</v>
      </c>
      <c r="I139" s="386">
        <v>0</v>
      </c>
      <c r="J139" s="386">
        <v>205.33</v>
      </c>
      <c r="K139" s="386">
        <v>0</v>
      </c>
      <c r="L139" s="387" t="s">
        <v>472</v>
      </c>
    </row>
    <row r="140" spans="1:12" hidden="1">
      <c r="A140" s="385" t="s">
        <v>345</v>
      </c>
      <c r="B140" s="385" t="s">
        <v>490</v>
      </c>
      <c r="C140" s="385" t="s">
        <v>395</v>
      </c>
      <c r="D140" s="385" t="s">
        <v>380</v>
      </c>
      <c r="E140" s="385" t="s">
        <v>381</v>
      </c>
      <c r="F140" s="385" t="s">
        <v>479</v>
      </c>
      <c r="G140" s="385" t="s">
        <v>19</v>
      </c>
      <c r="H140" s="386">
        <v>0</v>
      </c>
      <c r="I140" s="386">
        <v>0</v>
      </c>
      <c r="J140" s="386">
        <v>900</v>
      </c>
      <c r="K140" s="386">
        <v>0</v>
      </c>
      <c r="L140" s="387" t="s">
        <v>480</v>
      </c>
    </row>
    <row r="141" spans="1:12" hidden="1">
      <c r="A141" s="385" t="s">
        <v>345</v>
      </c>
      <c r="B141" s="385" t="s">
        <v>490</v>
      </c>
      <c r="C141" s="385" t="s">
        <v>396</v>
      </c>
      <c r="D141" s="385" t="s">
        <v>380</v>
      </c>
      <c r="E141" s="385" t="s">
        <v>381</v>
      </c>
      <c r="F141" s="385" t="s">
        <v>471</v>
      </c>
      <c r="G141" s="385" t="s">
        <v>19</v>
      </c>
      <c r="H141" s="386">
        <v>0</v>
      </c>
      <c r="I141" s="386">
        <v>0</v>
      </c>
      <c r="J141" s="386">
        <v>5713.48</v>
      </c>
      <c r="K141" s="386">
        <v>0</v>
      </c>
      <c r="L141" s="387" t="s">
        <v>472</v>
      </c>
    </row>
    <row r="142" spans="1:12" hidden="1">
      <c r="A142" s="385" t="s">
        <v>345</v>
      </c>
      <c r="B142" s="385" t="s">
        <v>490</v>
      </c>
      <c r="C142" s="385" t="s">
        <v>396</v>
      </c>
      <c r="D142" s="385" t="s">
        <v>380</v>
      </c>
      <c r="E142" s="385" t="s">
        <v>381</v>
      </c>
      <c r="F142" s="385" t="s">
        <v>479</v>
      </c>
      <c r="G142" s="385" t="s">
        <v>19</v>
      </c>
      <c r="H142" s="386">
        <v>0</v>
      </c>
      <c r="I142" s="386">
        <v>0</v>
      </c>
      <c r="J142" s="386">
        <v>213.52</v>
      </c>
      <c r="K142" s="386">
        <v>0</v>
      </c>
      <c r="L142" s="387" t="s">
        <v>480</v>
      </c>
    </row>
    <row r="143" spans="1:12" hidden="1">
      <c r="A143" s="385" t="s">
        <v>345</v>
      </c>
      <c r="B143" s="385" t="s">
        <v>490</v>
      </c>
      <c r="C143" s="385" t="s">
        <v>487</v>
      </c>
      <c r="D143" s="385" t="s">
        <v>380</v>
      </c>
      <c r="E143" s="385" t="s">
        <v>381</v>
      </c>
      <c r="F143" s="385" t="s">
        <v>382</v>
      </c>
      <c r="G143" s="385" t="s">
        <v>19</v>
      </c>
      <c r="H143" s="386">
        <v>24000</v>
      </c>
      <c r="I143" s="386">
        <v>0</v>
      </c>
      <c r="J143" s="386">
        <v>24000</v>
      </c>
      <c r="K143" s="386">
        <v>0</v>
      </c>
      <c r="L143" s="387" t="s">
        <v>383</v>
      </c>
    </row>
    <row r="144" spans="1:12" ht="25.5" hidden="1">
      <c r="A144" s="385" t="s">
        <v>345</v>
      </c>
      <c r="B144" s="385" t="s">
        <v>491</v>
      </c>
      <c r="C144" s="385" t="s">
        <v>430</v>
      </c>
      <c r="D144" s="385" t="s">
        <v>380</v>
      </c>
      <c r="E144" s="385" t="s">
        <v>381</v>
      </c>
      <c r="F144" s="385" t="s">
        <v>469</v>
      </c>
      <c r="G144" s="385" t="s">
        <v>19</v>
      </c>
      <c r="H144" s="386">
        <v>28000</v>
      </c>
      <c r="I144" s="386">
        <v>0</v>
      </c>
      <c r="J144" s="386">
        <v>13215.32</v>
      </c>
      <c r="K144" s="386">
        <v>0</v>
      </c>
      <c r="L144" s="387" t="s">
        <v>470</v>
      </c>
    </row>
    <row r="145" spans="1:12" hidden="1">
      <c r="A145" s="385" t="s">
        <v>345</v>
      </c>
      <c r="B145" s="385" t="s">
        <v>346</v>
      </c>
      <c r="C145" s="385" t="s">
        <v>481</v>
      </c>
      <c r="D145" s="385" t="s">
        <v>380</v>
      </c>
      <c r="E145" s="385" t="s">
        <v>381</v>
      </c>
      <c r="F145" s="385" t="s">
        <v>482</v>
      </c>
      <c r="G145" s="385" t="s">
        <v>19</v>
      </c>
      <c r="H145" s="386">
        <v>148.5</v>
      </c>
      <c r="I145" s="386">
        <v>0</v>
      </c>
      <c r="J145" s="386">
        <v>148.5</v>
      </c>
      <c r="K145" s="386">
        <v>0</v>
      </c>
      <c r="L145" s="387" t="s">
        <v>483</v>
      </c>
    </row>
    <row r="146" spans="1:12" hidden="1">
      <c r="A146" s="385" t="s">
        <v>345</v>
      </c>
      <c r="B146" s="385" t="s">
        <v>346</v>
      </c>
      <c r="C146" s="385" t="s">
        <v>379</v>
      </c>
      <c r="D146" s="385" t="s">
        <v>380</v>
      </c>
      <c r="E146" s="385" t="s">
        <v>381</v>
      </c>
      <c r="F146" s="385" t="s">
        <v>382</v>
      </c>
      <c r="G146" s="385" t="s">
        <v>12</v>
      </c>
      <c r="H146" s="386">
        <v>40081.269999999997</v>
      </c>
      <c r="I146" s="386">
        <v>0</v>
      </c>
      <c r="J146" s="386">
        <v>40081.269999999997</v>
      </c>
      <c r="K146" s="386">
        <v>0</v>
      </c>
      <c r="L146" s="387" t="s">
        <v>383</v>
      </c>
    </row>
    <row r="147" spans="1:12" hidden="1">
      <c r="A147" s="385" t="s">
        <v>345</v>
      </c>
      <c r="B147" s="385" t="s">
        <v>364</v>
      </c>
      <c r="C147" s="385" t="s">
        <v>431</v>
      </c>
      <c r="D147" s="385" t="s">
        <v>380</v>
      </c>
      <c r="E147" s="385" t="s">
        <v>381</v>
      </c>
      <c r="F147" s="385" t="s">
        <v>473</v>
      </c>
      <c r="G147" s="385" t="s">
        <v>19</v>
      </c>
      <c r="H147" s="386">
        <v>400</v>
      </c>
      <c r="I147" s="386">
        <v>0</v>
      </c>
      <c r="J147" s="386">
        <v>540</v>
      </c>
      <c r="K147" s="386">
        <v>0</v>
      </c>
      <c r="L147" s="387" t="s">
        <v>474</v>
      </c>
    </row>
    <row r="148" spans="1:12" ht="25.5">
      <c r="A148" s="385" t="s">
        <v>345</v>
      </c>
      <c r="B148" s="385" t="s">
        <v>364</v>
      </c>
      <c r="C148" s="385" t="s">
        <v>422</v>
      </c>
      <c r="D148" s="385" t="s">
        <v>380</v>
      </c>
      <c r="E148" s="385" t="s">
        <v>381</v>
      </c>
      <c r="F148" s="385" t="s">
        <v>747</v>
      </c>
      <c r="G148" s="385" t="s">
        <v>19</v>
      </c>
      <c r="H148" s="386">
        <v>451168</v>
      </c>
      <c r="I148" s="386">
        <v>0</v>
      </c>
      <c r="J148" s="386">
        <v>0</v>
      </c>
      <c r="K148" s="386">
        <v>0</v>
      </c>
      <c r="L148" s="387" t="s">
        <v>748</v>
      </c>
    </row>
    <row r="149" spans="1:12" ht="38.25" hidden="1">
      <c r="A149" s="385" t="s">
        <v>345</v>
      </c>
      <c r="B149" s="385" t="s">
        <v>364</v>
      </c>
      <c r="C149" s="385" t="s">
        <v>422</v>
      </c>
      <c r="D149" s="385" t="s">
        <v>380</v>
      </c>
      <c r="E149" s="385" t="s">
        <v>381</v>
      </c>
      <c r="F149" s="385" t="s">
        <v>659</v>
      </c>
      <c r="G149" s="385" t="s">
        <v>19</v>
      </c>
      <c r="H149" s="386">
        <v>0</v>
      </c>
      <c r="I149" s="386">
        <v>0</v>
      </c>
      <c r="J149" s="386">
        <v>71634.86</v>
      </c>
      <c r="K149" s="386">
        <v>0</v>
      </c>
      <c r="L149" s="387" t="s">
        <v>660</v>
      </c>
    </row>
    <row r="150" spans="1:12" hidden="1">
      <c r="A150" s="385" t="s">
        <v>345</v>
      </c>
      <c r="B150" s="385" t="s">
        <v>364</v>
      </c>
      <c r="C150" s="385" t="s">
        <v>422</v>
      </c>
      <c r="D150" s="385" t="s">
        <v>380</v>
      </c>
      <c r="E150" s="385" t="s">
        <v>381</v>
      </c>
      <c r="F150" s="385" t="s">
        <v>661</v>
      </c>
      <c r="G150" s="385" t="s">
        <v>19</v>
      </c>
      <c r="H150" s="386">
        <v>725641.6</v>
      </c>
      <c r="I150" s="386">
        <v>0</v>
      </c>
      <c r="J150" s="386">
        <v>0</v>
      </c>
      <c r="K150" s="386">
        <v>0</v>
      </c>
      <c r="L150" s="387" t="s">
        <v>662</v>
      </c>
    </row>
    <row r="151" spans="1:12" ht="38.25" hidden="1">
      <c r="A151" s="385" t="s">
        <v>345</v>
      </c>
      <c r="B151" s="385" t="s">
        <v>364</v>
      </c>
      <c r="C151" s="385" t="s">
        <v>422</v>
      </c>
      <c r="D151" s="385" t="s">
        <v>380</v>
      </c>
      <c r="E151" s="385" t="s">
        <v>381</v>
      </c>
      <c r="F151" s="385" t="s">
        <v>749</v>
      </c>
      <c r="G151" s="385" t="s">
        <v>19</v>
      </c>
      <c r="H151" s="386">
        <v>78427.02</v>
      </c>
      <c r="I151" s="386">
        <v>0</v>
      </c>
      <c r="J151" s="386">
        <v>0</v>
      </c>
      <c r="K151" s="386">
        <v>0</v>
      </c>
      <c r="L151" s="387" t="s">
        <v>750</v>
      </c>
    </row>
    <row r="152" spans="1:12" hidden="1">
      <c r="A152" s="385" t="s">
        <v>345</v>
      </c>
      <c r="B152" s="385" t="s">
        <v>364</v>
      </c>
      <c r="C152" s="385" t="s">
        <v>423</v>
      </c>
      <c r="D152" s="385" t="s">
        <v>380</v>
      </c>
      <c r="E152" s="385" t="s">
        <v>381</v>
      </c>
      <c r="F152" s="385" t="s">
        <v>661</v>
      </c>
      <c r="G152" s="385" t="s">
        <v>19</v>
      </c>
      <c r="H152" s="386">
        <v>128054.39999999999</v>
      </c>
      <c r="I152" s="386">
        <v>0</v>
      </c>
      <c r="J152" s="386">
        <v>0</v>
      </c>
      <c r="K152" s="386">
        <v>0</v>
      </c>
      <c r="L152" s="387" t="s">
        <v>662</v>
      </c>
    </row>
    <row r="153" spans="1:12" hidden="1">
      <c r="A153" s="385" t="s">
        <v>345</v>
      </c>
      <c r="B153" s="385" t="s">
        <v>364</v>
      </c>
      <c r="C153" s="385" t="s">
        <v>433</v>
      </c>
      <c r="D153" s="385" t="s">
        <v>380</v>
      </c>
      <c r="E153" s="385" t="s">
        <v>381</v>
      </c>
      <c r="F153" s="385" t="s">
        <v>382</v>
      </c>
      <c r="G153" s="385" t="s">
        <v>434</v>
      </c>
      <c r="H153" s="386">
        <v>342760</v>
      </c>
      <c r="I153" s="386">
        <v>0</v>
      </c>
      <c r="J153" s="386">
        <v>342760</v>
      </c>
      <c r="K153" s="386">
        <v>0</v>
      </c>
      <c r="L153" s="387" t="s">
        <v>383</v>
      </c>
    </row>
    <row r="154" spans="1:12" ht="25.5">
      <c r="A154" s="385" t="s">
        <v>345</v>
      </c>
      <c r="B154" s="385" t="s">
        <v>364</v>
      </c>
      <c r="C154" s="385" t="s">
        <v>663</v>
      </c>
      <c r="D154" s="385" t="s">
        <v>380</v>
      </c>
      <c r="E154" s="385" t="s">
        <v>381</v>
      </c>
      <c r="F154" s="385" t="s">
        <v>747</v>
      </c>
      <c r="G154" s="385" t="s">
        <v>19</v>
      </c>
      <c r="H154" s="386">
        <v>367001</v>
      </c>
      <c r="I154" s="386">
        <v>0</v>
      </c>
      <c r="J154" s="386">
        <v>0</v>
      </c>
      <c r="K154" s="386">
        <v>0</v>
      </c>
      <c r="L154" s="387" t="s">
        <v>748</v>
      </c>
    </row>
    <row r="155" spans="1:12" ht="25.5" hidden="1">
      <c r="A155" s="385" t="s">
        <v>492</v>
      </c>
      <c r="B155" s="385" t="s">
        <v>144</v>
      </c>
      <c r="C155" s="385" t="s">
        <v>413</v>
      </c>
      <c r="D155" s="385" t="s">
        <v>380</v>
      </c>
      <c r="E155" s="385" t="s">
        <v>381</v>
      </c>
      <c r="F155" s="385" t="s">
        <v>392</v>
      </c>
      <c r="G155" s="385" t="s">
        <v>19</v>
      </c>
      <c r="H155" s="386">
        <v>0</v>
      </c>
      <c r="I155" s="386">
        <v>0</v>
      </c>
      <c r="J155" s="386">
        <v>27.9</v>
      </c>
      <c r="K155" s="386">
        <v>0</v>
      </c>
      <c r="L155" s="387" t="s">
        <v>393</v>
      </c>
    </row>
    <row r="156" spans="1:12" hidden="1">
      <c r="A156" s="385" t="s">
        <v>492</v>
      </c>
      <c r="B156" s="385" t="s">
        <v>144</v>
      </c>
      <c r="C156" s="385" t="s">
        <v>498</v>
      </c>
      <c r="D156" s="385" t="s">
        <v>380</v>
      </c>
      <c r="E156" s="385" t="s">
        <v>381</v>
      </c>
      <c r="F156" s="385" t="s">
        <v>382</v>
      </c>
      <c r="G156" s="385" t="s">
        <v>19</v>
      </c>
      <c r="H156" s="386">
        <v>14103</v>
      </c>
      <c r="I156" s="386">
        <v>0</v>
      </c>
      <c r="J156" s="386">
        <v>14102.85</v>
      </c>
      <c r="K156" s="386">
        <v>0</v>
      </c>
      <c r="L156" s="387" t="s">
        <v>383</v>
      </c>
    </row>
    <row r="157" spans="1:12" hidden="1">
      <c r="A157" s="385" t="s">
        <v>492</v>
      </c>
      <c r="B157" s="385" t="s">
        <v>144</v>
      </c>
      <c r="C157" s="385" t="s">
        <v>399</v>
      </c>
      <c r="D157" s="385" t="s">
        <v>380</v>
      </c>
      <c r="E157" s="385" t="s">
        <v>381</v>
      </c>
      <c r="F157" s="385" t="s">
        <v>382</v>
      </c>
      <c r="G157" s="385" t="s">
        <v>19</v>
      </c>
      <c r="H157" s="386">
        <v>48308</v>
      </c>
      <c r="I157" s="386">
        <v>0</v>
      </c>
      <c r="J157" s="386">
        <v>48307.15</v>
      </c>
      <c r="K157" s="386">
        <v>0</v>
      </c>
      <c r="L157" s="387" t="s">
        <v>383</v>
      </c>
    </row>
    <row r="158" spans="1:12" hidden="1">
      <c r="A158" s="385" t="s">
        <v>492</v>
      </c>
      <c r="B158" s="385" t="s">
        <v>280</v>
      </c>
      <c r="C158" s="385" t="s">
        <v>493</v>
      </c>
      <c r="D158" s="385" t="s">
        <v>380</v>
      </c>
      <c r="E158" s="385" t="s">
        <v>381</v>
      </c>
      <c r="F158" s="385" t="s">
        <v>467</v>
      </c>
      <c r="G158" s="385" t="s">
        <v>19</v>
      </c>
      <c r="H158" s="386">
        <v>32770</v>
      </c>
      <c r="I158" s="386">
        <v>0</v>
      </c>
      <c r="J158" s="386">
        <v>5077.17</v>
      </c>
      <c r="K158" s="386">
        <v>0</v>
      </c>
      <c r="L158" s="387" t="s">
        <v>353</v>
      </c>
    </row>
    <row r="159" spans="1:12" hidden="1">
      <c r="A159" s="385" t="s">
        <v>492</v>
      </c>
      <c r="B159" s="385" t="s">
        <v>352</v>
      </c>
      <c r="C159" s="385" t="s">
        <v>379</v>
      </c>
      <c r="D159" s="385" t="s">
        <v>380</v>
      </c>
      <c r="E159" s="385" t="s">
        <v>381</v>
      </c>
      <c r="F159" s="385" t="s">
        <v>382</v>
      </c>
      <c r="G159" s="385" t="s">
        <v>12</v>
      </c>
      <c r="H159" s="386">
        <v>960</v>
      </c>
      <c r="I159" s="386">
        <v>0</v>
      </c>
      <c r="J159" s="386">
        <v>960</v>
      </c>
      <c r="K159" s="386">
        <v>0</v>
      </c>
      <c r="L159" s="387" t="s">
        <v>383</v>
      </c>
    </row>
    <row r="160" spans="1:12" ht="25.5" hidden="1">
      <c r="A160" s="385" t="s">
        <v>354</v>
      </c>
      <c r="B160" s="385" t="s">
        <v>495</v>
      </c>
      <c r="C160" s="385" t="s">
        <v>429</v>
      </c>
      <c r="D160" s="385" t="s">
        <v>380</v>
      </c>
      <c r="E160" s="385" t="s">
        <v>381</v>
      </c>
      <c r="F160" s="385" t="s">
        <v>457</v>
      </c>
      <c r="G160" s="385" t="s">
        <v>19</v>
      </c>
      <c r="H160" s="386">
        <v>0</v>
      </c>
      <c r="I160" s="386">
        <v>0</v>
      </c>
      <c r="J160" s="386">
        <v>16</v>
      </c>
      <c r="K160" s="386">
        <v>0</v>
      </c>
      <c r="L160" s="387" t="s">
        <v>458</v>
      </c>
    </row>
    <row r="161" spans="1:12" ht="25.5" hidden="1">
      <c r="A161" s="385" t="s">
        <v>354</v>
      </c>
      <c r="B161" s="385" t="s">
        <v>495</v>
      </c>
      <c r="C161" s="385" t="s">
        <v>413</v>
      </c>
      <c r="D161" s="385" t="s">
        <v>380</v>
      </c>
      <c r="E161" s="385" t="s">
        <v>381</v>
      </c>
      <c r="F161" s="385" t="s">
        <v>457</v>
      </c>
      <c r="G161" s="385" t="s">
        <v>19</v>
      </c>
      <c r="H161" s="386">
        <v>0</v>
      </c>
      <c r="I161" s="386">
        <v>0</v>
      </c>
      <c r="J161" s="386">
        <v>715.97</v>
      </c>
      <c r="K161" s="386">
        <v>0</v>
      </c>
      <c r="L161" s="387" t="s">
        <v>458</v>
      </c>
    </row>
    <row r="162" spans="1:12" ht="25.5" hidden="1">
      <c r="A162" s="385" t="s">
        <v>354</v>
      </c>
      <c r="B162" s="385" t="s">
        <v>495</v>
      </c>
      <c r="C162" s="385" t="s">
        <v>430</v>
      </c>
      <c r="D162" s="385" t="s">
        <v>380</v>
      </c>
      <c r="E162" s="385" t="s">
        <v>381</v>
      </c>
      <c r="F162" s="385" t="s">
        <v>457</v>
      </c>
      <c r="G162" s="385" t="s">
        <v>19</v>
      </c>
      <c r="H162" s="386">
        <v>13988718</v>
      </c>
      <c r="I162" s="386">
        <v>0</v>
      </c>
      <c r="J162" s="386">
        <v>10434826.77</v>
      </c>
      <c r="K162" s="386">
        <v>0</v>
      </c>
      <c r="L162" s="387" t="s">
        <v>458</v>
      </c>
    </row>
    <row r="163" spans="1:12" ht="25.5" hidden="1">
      <c r="A163" s="385" t="s">
        <v>354</v>
      </c>
      <c r="B163" s="385" t="s">
        <v>495</v>
      </c>
      <c r="C163" s="385" t="s">
        <v>496</v>
      </c>
      <c r="D163" s="385" t="s">
        <v>380</v>
      </c>
      <c r="E163" s="385" t="s">
        <v>381</v>
      </c>
      <c r="F163" s="385" t="s">
        <v>457</v>
      </c>
      <c r="G163" s="385" t="s">
        <v>19</v>
      </c>
      <c r="H163" s="386">
        <v>308193</v>
      </c>
      <c r="I163" s="386">
        <v>0</v>
      </c>
      <c r="J163" s="386">
        <v>209967.76</v>
      </c>
      <c r="K163" s="386">
        <v>0</v>
      </c>
      <c r="L163" s="387" t="s">
        <v>458</v>
      </c>
    </row>
    <row r="164" spans="1:12" ht="25.5" hidden="1">
      <c r="A164" s="385" t="s">
        <v>354</v>
      </c>
      <c r="B164" s="385" t="s">
        <v>495</v>
      </c>
      <c r="C164" s="385" t="s">
        <v>391</v>
      </c>
      <c r="D164" s="385" t="s">
        <v>380</v>
      </c>
      <c r="E164" s="385" t="s">
        <v>381</v>
      </c>
      <c r="F164" s="385" t="s">
        <v>457</v>
      </c>
      <c r="G164" s="385" t="s">
        <v>19</v>
      </c>
      <c r="H164" s="386">
        <v>0</v>
      </c>
      <c r="I164" s="386">
        <v>0</v>
      </c>
      <c r="J164" s="386">
        <v>61.03</v>
      </c>
      <c r="K164" s="386">
        <v>0</v>
      </c>
      <c r="L164" s="387" t="s">
        <v>458</v>
      </c>
    </row>
    <row r="165" spans="1:12" ht="25.5" hidden="1">
      <c r="A165" s="385" t="s">
        <v>354</v>
      </c>
      <c r="B165" s="385" t="s">
        <v>495</v>
      </c>
      <c r="C165" s="385" t="s">
        <v>396</v>
      </c>
      <c r="D165" s="385" t="s">
        <v>380</v>
      </c>
      <c r="E165" s="385" t="s">
        <v>381</v>
      </c>
      <c r="F165" s="385" t="s">
        <v>457</v>
      </c>
      <c r="G165" s="385" t="s">
        <v>19</v>
      </c>
      <c r="H165" s="386">
        <v>0</v>
      </c>
      <c r="I165" s="386">
        <v>0</v>
      </c>
      <c r="J165" s="386">
        <v>0</v>
      </c>
      <c r="K165" s="386">
        <v>0</v>
      </c>
      <c r="L165" s="387" t="s">
        <v>458</v>
      </c>
    </row>
    <row r="166" spans="1:12" hidden="1">
      <c r="A166" s="385" t="s">
        <v>354</v>
      </c>
      <c r="B166" s="385" t="s">
        <v>495</v>
      </c>
      <c r="C166" s="385" t="s">
        <v>487</v>
      </c>
      <c r="D166" s="385" t="s">
        <v>380</v>
      </c>
      <c r="E166" s="385" t="s">
        <v>381</v>
      </c>
      <c r="F166" s="385" t="s">
        <v>382</v>
      </c>
      <c r="G166" s="385" t="s">
        <v>19</v>
      </c>
      <c r="H166" s="386">
        <v>6840406</v>
      </c>
      <c r="I166" s="386">
        <v>0</v>
      </c>
      <c r="J166" s="386">
        <v>4413976.6399999997</v>
      </c>
      <c r="K166" s="386">
        <v>0</v>
      </c>
      <c r="L166" s="387" t="s">
        <v>383</v>
      </c>
    </row>
    <row r="167" spans="1:12" ht="51" hidden="1">
      <c r="A167" s="385" t="s">
        <v>354</v>
      </c>
      <c r="B167" s="385" t="s">
        <v>495</v>
      </c>
      <c r="C167" s="385" t="s">
        <v>400</v>
      </c>
      <c r="D167" s="385" t="s">
        <v>380</v>
      </c>
      <c r="E167" s="385" t="s">
        <v>381</v>
      </c>
      <c r="F167" s="385" t="s">
        <v>665</v>
      </c>
      <c r="G167" s="385" t="s">
        <v>19</v>
      </c>
      <c r="H167" s="386">
        <v>8000000</v>
      </c>
      <c r="I167" s="386">
        <v>0</v>
      </c>
      <c r="J167" s="386">
        <v>3663180</v>
      </c>
      <c r="K167" s="386">
        <v>0</v>
      </c>
      <c r="L167" s="387" t="s">
        <v>666</v>
      </c>
    </row>
    <row r="168" spans="1:12" hidden="1">
      <c r="A168" s="385" t="s">
        <v>354</v>
      </c>
      <c r="B168" s="385" t="s">
        <v>356</v>
      </c>
      <c r="C168" s="385" t="s">
        <v>379</v>
      </c>
      <c r="D168" s="385" t="s">
        <v>380</v>
      </c>
      <c r="E168" s="385" t="s">
        <v>381</v>
      </c>
      <c r="F168" s="385" t="s">
        <v>382</v>
      </c>
      <c r="G168" s="385" t="s">
        <v>12</v>
      </c>
      <c r="H168" s="386">
        <v>30600</v>
      </c>
      <c r="I168" s="386">
        <v>0</v>
      </c>
      <c r="J168" s="386">
        <v>30600</v>
      </c>
      <c r="K168" s="386">
        <v>0</v>
      </c>
      <c r="L168" s="387" t="s">
        <v>383</v>
      </c>
    </row>
    <row r="169" spans="1:12" hidden="1">
      <c r="A169" s="385" t="s">
        <v>354</v>
      </c>
      <c r="B169" s="385" t="s">
        <v>610</v>
      </c>
      <c r="C169" s="385" t="s">
        <v>487</v>
      </c>
      <c r="D169" s="385" t="s">
        <v>380</v>
      </c>
      <c r="E169" s="385" t="s">
        <v>381</v>
      </c>
      <c r="F169" s="385" t="s">
        <v>382</v>
      </c>
      <c r="G169" s="385" t="s">
        <v>19</v>
      </c>
      <c r="H169" s="386">
        <v>343149</v>
      </c>
      <c r="I169" s="386">
        <v>0</v>
      </c>
      <c r="J169" s="386">
        <v>228766</v>
      </c>
      <c r="K169" s="386">
        <v>0</v>
      </c>
      <c r="L169" s="387" t="s">
        <v>383</v>
      </c>
    </row>
    <row r="170" spans="1:12" hidden="1">
      <c r="A170" s="385" t="s">
        <v>354</v>
      </c>
      <c r="B170" s="385" t="s">
        <v>497</v>
      </c>
      <c r="C170" s="385" t="s">
        <v>487</v>
      </c>
      <c r="D170" s="385" t="s">
        <v>380</v>
      </c>
      <c r="E170" s="385" t="s">
        <v>381</v>
      </c>
      <c r="F170" s="385" t="s">
        <v>382</v>
      </c>
      <c r="G170" s="385" t="s">
        <v>19</v>
      </c>
      <c r="H170" s="386">
        <v>14067</v>
      </c>
      <c r="I170" s="386">
        <v>0</v>
      </c>
      <c r="J170" s="386">
        <v>9378</v>
      </c>
      <c r="K170" s="386">
        <v>0</v>
      </c>
      <c r="L170" s="387" t="s">
        <v>383</v>
      </c>
    </row>
    <row r="171" spans="1:12" hidden="1">
      <c r="A171" s="385" t="s">
        <v>354</v>
      </c>
      <c r="B171" s="385" t="s">
        <v>497</v>
      </c>
      <c r="C171" s="385" t="s">
        <v>498</v>
      </c>
      <c r="D171" s="385" t="s">
        <v>380</v>
      </c>
      <c r="E171" s="385" t="s">
        <v>381</v>
      </c>
      <c r="F171" s="385" t="s">
        <v>382</v>
      </c>
      <c r="G171" s="385" t="s">
        <v>19</v>
      </c>
      <c r="H171" s="386">
        <v>5000</v>
      </c>
      <c r="I171" s="386">
        <v>0</v>
      </c>
      <c r="J171" s="386">
        <v>5000</v>
      </c>
      <c r="K171" s="386">
        <v>0</v>
      </c>
      <c r="L171" s="387" t="s">
        <v>383</v>
      </c>
    </row>
    <row r="172" spans="1:12" ht="25.5" hidden="1">
      <c r="A172" s="385" t="s">
        <v>354</v>
      </c>
      <c r="B172" s="385" t="s">
        <v>611</v>
      </c>
      <c r="C172" s="385" t="s">
        <v>422</v>
      </c>
      <c r="D172" s="385" t="s">
        <v>380</v>
      </c>
      <c r="E172" s="385" t="s">
        <v>381</v>
      </c>
      <c r="F172" s="385" t="s">
        <v>671</v>
      </c>
      <c r="G172" s="385" t="s">
        <v>19</v>
      </c>
      <c r="H172" s="386">
        <v>691120</v>
      </c>
      <c r="I172" s="386">
        <v>0</v>
      </c>
      <c r="J172" s="386">
        <v>507044.18</v>
      </c>
      <c r="K172" s="386">
        <v>0</v>
      </c>
      <c r="L172" s="387" t="s">
        <v>672</v>
      </c>
    </row>
    <row r="173" spans="1:12" ht="25.5" hidden="1">
      <c r="A173" s="385" t="s">
        <v>354</v>
      </c>
      <c r="B173" s="385" t="s">
        <v>611</v>
      </c>
      <c r="C173" s="385" t="s">
        <v>423</v>
      </c>
      <c r="D173" s="385" t="s">
        <v>380</v>
      </c>
      <c r="E173" s="385" t="s">
        <v>381</v>
      </c>
      <c r="F173" s="385" t="s">
        <v>671</v>
      </c>
      <c r="G173" s="385" t="s">
        <v>19</v>
      </c>
      <c r="H173" s="386">
        <v>81340</v>
      </c>
      <c r="I173" s="386">
        <v>0</v>
      </c>
      <c r="J173" s="386">
        <v>59675.59</v>
      </c>
      <c r="K173" s="386">
        <v>0</v>
      </c>
      <c r="L173" s="387" t="s">
        <v>672</v>
      </c>
    </row>
    <row r="174" spans="1:12" hidden="1">
      <c r="A174" s="385" t="s">
        <v>354</v>
      </c>
      <c r="B174" s="385" t="s">
        <v>611</v>
      </c>
      <c r="C174" s="385" t="s">
        <v>379</v>
      </c>
      <c r="D174" s="385" t="s">
        <v>380</v>
      </c>
      <c r="E174" s="385" t="s">
        <v>381</v>
      </c>
      <c r="F174" s="385" t="s">
        <v>382</v>
      </c>
      <c r="G174" s="385" t="s">
        <v>12</v>
      </c>
      <c r="H174" s="386">
        <v>4132.8</v>
      </c>
      <c r="I174" s="386">
        <v>0</v>
      </c>
      <c r="J174" s="386">
        <v>4132.8</v>
      </c>
      <c r="K174" s="386">
        <v>0</v>
      </c>
      <c r="L174" s="387" t="s">
        <v>383</v>
      </c>
    </row>
    <row r="175" spans="1:12" ht="25.5" hidden="1">
      <c r="A175" s="385" t="s">
        <v>354</v>
      </c>
      <c r="B175" s="385" t="s">
        <v>611</v>
      </c>
      <c r="C175" s="385" t="s">
        <v>663</v>
      </c>
      <c r="D175" s="385" t="s">
        <v>380</v>
      </c>
      <c r="E175" s="385" t="s">
        <v>381</v>
      </c>
      <c r="F175" s="385" t="s">
        <v>671</v>
      </c>
      <c r="G175" s="385" t="s">
        <v>19</v>
      </c>
      <c r="H175" s="386">
        <v>389194.5</v>
      </c>
      <c r="I175" s="386">
        <v>0</v>
      </c>
      <c r="J175" s="386">
        <v>389194.5</v>
      </c>
      <c r="K175" s="386">
        <v>0</v>
      </c>
      <c r="L175" s="387" t="s">
        <v>672</v>
      </c>
    </row>
    <row r="176" spans="1:12" ht="25.5" hidden="1">
      <c r="A176" s="385" t="s">
        <v>354</v>
      </c>
      <c r="B176" s="385" t="s">
        <v>611</v>
      </c>
      <c r="C176" s="385" t="s">
        <v>664</v>
      </c>
      <c r="D176" s="385" t="s">
        <v>380</v>
      </c>
      <c r="E176" s="385" t="s">
        <v>381</v>
      </c>
      <c r="F176" s="385" t="s">
        <v>671</v>
      </c>
      <c r="G176" s="385" t="s">
        <v>19</v>
      </c>
      <c r="H176" s="386">
        <v>45805.5</v>
      </c>
      <c r="I176" s="386">
        <v>0</v>
      </c>
      <c r="J176" s="386">
        <v>45805.5</v>
      </c>
      <c r="K176" s="386">
        <v>0</v>
      </c>
      <c r="L176" s="387" t="s">
        <v>672</v>
      </c>
    </row>
    <row r="177" spans="1:12" hidden="1">
      <c r="A177" s="385" t="s">
        <v>357</v>
      </c>
      <c r="B177" s="385" t="s">
        <v>499</v>
      </c>
      <c r="C177" s="385" t="s">
        <v>500</v>
      </c>
      <c r="D177" s="385" t="s">
        <v>380</v>
      </c>
      <c r="E177" s="385" t="s">
        <v>381</v>
      </c>
      <c r="F177" s="385" t="s">
        <v>501</v>
      </c>
      <c r="G177" s="385" t="s">
        <v>434</v>
      </c>
      <c r="H177" s="386">
        <v>3911</v>
      </c>
      <c r="I177" s="386">
        <v>0</v>
      </c>
      <c r="J177" s="386">
        <v>3910.67</v>
      </c>
      <c r="K177" s="386">
        <v>0</v>
      </c>
      <c r="L177" s="387" t="s">
        <v>502</v>
      </c>
    </row>
    <row r="178" spans="1:12" hidden="1">
      <c r="A178" s="385" t="s">
        <v>357</v>
      </c>
      <c r="B178" s="385" t="s">
        <v>287</v>
      </c>
      <c r="C178" s="385" t="s">
        <v>481</v>
      </c>
      <c r="D178" s="385" t="s">
        <v>380</v>
      </c>
      <c r="E178" s="385" t="s">
        <v>381</v>
      </c>
      <c r="F178" s="385" t="s">
        <v>482</v>
      </c>
      <c r="G178" s="385" t="s">
        <v>19</v>
      </c>
      <c r="H178" s="386">
        <v>3624.1</v>
      </c>
      <c r="I178" s="386">
        <v>0</v>
      </c>
      <c r="J178" s="386">
        <v>3624.1</v>
      </c>
      <c r="K178" s="386">
        <v>0</v>
      </c>
      <c r="L178" s="387" t="s">
        <v>483</v>
      </c>
    </row>
    <row r="179" spans="1:12" hidden="1">
      <c r="A179" s="385" t="s">
        <v>357</v>
      </c>
      <c r="B179" s="385" t="s">
        <v>287</v>
      </c>
      <c r="C179" s="385" t="s">
        <v>379</v>
      </c>
      <c r="D179" s="385" t="s">
        <v>380</v>
      </c>
      <c r="E179" s="385" t="s">
        <v>381</v>
      </c>
      <c r="F179" s="385" t="s">
        <v>382</v>
      </c>
      <c r="G179" s="385" t="s">
        <v>12</v>
      </c>
      <c r="H179" s="386">
        <v>618000</v>
      </c>
      <c r="I179" s="386">
        <v>0</v>
      </c>
      <c r="J179" s="386">
        <v>429095</v>
      </c>
      <c r="K179" s="386">
        <v>0</v>
      </c>
      <c r="L179" s="387" t="s">
        <v>383</v>
      </c>
    </row>
    <row r="180" spans="1:12" ht="25.5" hidden="1">
      <c r="A180" s="385" t="s">
        <v>357</v>
      </c>
      <c r="B180" s="385" t="s">
        <v>287</v>
      </c>
      <c r="C180" s="385" t="s">
        <v>415</v>
      </c>
      <c r="D180" s="385" t="s">
        <v>380</v>
      </c>
      <c r="E180" s="385" t="s">
        <v>381</v>
      </c>
      <c r="F180" s="385" t="s">
        <v>410</v>
      </c>
      <c r="G180" s="385" t="s">
        <v>19</v>
      </c>
      <c r="H180" s="386">
        <v>0</v>
      </c>
      <c r="I180" s="386">
        <v>0</v>
      </c>
      <c r="J180" s="386">
        <v>332.85</v>
      </c>
      <c r="K180" s="386">
        <v>0</v>
      </c>
      <c r="L180" s="387" t="s">
        <v>411</v>
      </c>
    </row>
    <row r="181" spans="1:12" hidden="1">
      <c r="A181" s="385" t="s">
        <v>357</v>
      </c>
      <c r="B181" s="385" t="s">
        <v>503</v>
      </c>
      <c r="C181" s="385" t="s">
        <v>430</v>
      </c>
      <c r="D181" s="385" t="s">
        <v>380</v>
      </c>
      <c r="E181" s="385" t="s">
        <v>381</v>
      </c>
      <c r="F181" s="385" t="s">
        <v>467</v>
      </c>
      <c r="G181" s="385" t="s">
        <v>19</v>
      </c>
      <c r="H181" s="386">
        <v>81483</v>
      </c>
      <c r="I181" s="386">
        <v>0</v>
      </c>
      <c r="J181" s="386">
        <v>63039.67</v>
      </c>
      <c r="K181" s="386">
        <v>0</v>
      </c>
      <c r="L181" s="387" t="s">
        <v>353</v>
      </c>
    </row>
    <row r="182" spans="1:12" ht="25.5" hidden="1">
      <c r="A182" s="385" t="s">
        <v>357</v>
      </c>
      <c r="B182" s="385" t="s">
        <v>504</v>
      </c>
      <c r="C182" s="385" t="s">
        <v>447</v>
      </c>
      <c r="D182" s="385" t="s">
        <v>380</v>
      </c>
      <c r="E182" s="385" t="s">
        <v>381</v>
      </c>
      <c r="F182" s="385" t="s">
        <v>465</v>
      </c>
      <c r="G182" s="385" t="s">
        <v>19</v>
      </c>
      <c r="H182" s="386">
        <v>0</v>
      </c>
      <c r="I182" s="386">
        <v>0</v>
      </c>
      <c r="J182" s="386">
        <v>2310</v>
      </c>
      <c r="K182" s="386">
        <v>0</v>
      </c>
      <c r="L182" s="387" t="s">
        <v>466</v>
      </c>
    </row>
    <row r="183" spans="1:12" ht="25.5" hidden="1">
      <c r="A183" s="385" t="s">
        <v>357</v>
      </c>
      <c r="B183" s="385" t="s">
        <v>504</v>
      </c>
      <c r="C183" s="385" t="s">
        <v>429</v>
      </c>
      <c r="D183" s="385" t="s">
        <v>380</v>
      </c>
      <c r="E183" s="385" t="s">
        <v>381</v>
      </c>
      <c r="F183" s="385" t="s">
        <v>465</v>
      </c>
      <c r="G183" s="385" t="s">
        <v>19</v>
      </c>
      <c r="H183" s="386">
        <v>45000</v>
      </c>
      <c r="I183" s="386">
        <v>0</v>
      </c>
      <c r="J183" s="386">
        <v>41150</v>
      </c>
      <c r="K183" s="386">
        <v>0</v>
      </c>
      <c r="L183" s="387" t="s">
        <v>466</v>
      </c>
    </row>
    <row r="184" spans="1:12" ht="25.5" hidden="1">
      <c r="A184" s="385" t="s">
        <v>357</v>
      </c>
      <c r="B184" s="385" t="s">
        <v>504</v>
      </c>
      <c r="C184" s="385" t="s">
        <v>396</v>
      </c>
      <c r="D184" s="385" t="s">
        <v>380</v>
      </c>
      <c r="E184" s="385" t="s">
        <v>381</v>
      </c>
      <c r="F184" s="385" t="s">
        <v>465</v>
      </c>
      <c r="G184" s="385" t="s">
        <v>19</v>
      </c>
      <c r="H184" s="386">
        <v>0</v>
      </c>
      <c r="I184" s="386">
        <v>0</v>
      </c>
      <c r="J184" s="386">
        <v>380.3</v>
      </c>
      <c r="K184" s="386">
        <v>0</v>
      </c>
      <c r="L184" s="387" t="s">
        <v>466</v>
      </c>
    </row>
    <row r="185" spans="1:12" hidden="1">
      <c r="A185" s="385" t="s">
        <v>357</v>
      </c>
      <c r="B185" s="385" t="s">
        <v>504</v>
      </c>
      <c r="C185" s="385" t="s">
        <v>505</v>
      </c>
      <c r="D185" s="385" t="s">
        <v>380</v>
      </c>
      <c r="E185" s="385" t="s">
        <v>381</v>
      </c>
      <c r="F185" s="385" t="s">
        <v>382</v>
      </c>
      <c r="G185" s="385" t="s">
        <v>19</v>
      </c>
      <c r="H185" s="386">
        <v>297013</v>
      </c>
      <c r="I185" s="386">
        <v>0</v>
      </c>
      <c r="J185" s="386">
        <v>198000</v>
      </c>
      <c r="K185" s="386">
        <v>0</v>
      </c>
      <c r="L185" s="387" t="s">
        <v>383</v>
      </c>
    </row>
    <row r="186" spans="1:12" ht="25.5" hidden="1">
      <c r="A186" s="385" t="s">
        <v>357</v>
      </c>
      <c r="B186" s="385" t="s">
        <v>289</v>
      </c>
      <c r="C186" s="385" t="s">
        <v>422</v>
      </c>
      <c r="D186" s="385" t="s">
        <v>380</v>
      </c>
      <c r="E186" s="385" t="s">
        <v>381</v>
      </c>
      <c r="F186" s="385" t="s">
        <v>669</v>
      </c>
      <c r="G186" s="385" t="s">
        <v>19</v>
      </c>
      <c r="H186" s="386">
        <v>1569680</v>
      </c>
      <c r="I186" s="386">
        <v>0</v>
      </c>
      <c r="J186" s="386">
        <v>1569680</v>
      </c>
      <c r="K186" s="386">
        <v>0</v>
      </c>
      <c r="L186" s="387" t="s">
        <v>670</v>
      </c>
    </row>
    <row r="187" spans="1:12" hidden="1">
      <c r="A187" s="385" t="s">
        <v>357</v>
      </c>
      <c r="B187" s="385" t="s">
        <v>289</v>
      </c>
      <c r="C187" s="385" t="s">
        <v>422</v>
      </c>
      <c r="D187" s="385" t="s">
        <v>380</v>
      </c>
      <c r="E187" s="385" t="s">
        <v>381</v>
      </c>
      <c r="F187" s="385" t="s">
        <v>667</v>
      </c>
      <c r="G187" s="385" t="s">
        <v>19</v>
      </c>
      <c r="H187" s="386">
        <v>598650.97</v>
      </c>
      <c r="I187" s="386">
        <v>0</v>
      </c>
      <c r="J187" s="386">
        <v>574080</v>
      </c>
      <c r="K187" s="386">
        <v>0</v>
      </c>
      <c r="L187" s="387" t="s">
        <v>668</v>
      </c>
    </row>
    <row r="188" spans="1:12" hidden="1">
      <c r="A188" s="385" t="s">
        <v>357</v>
      </c>
      <c r="B188" s="385" t="s">
        <v>289</v>
      </c>
      <c r="C188" s="385" t="s">
        <v>423</v>
      </c>
      <c r="D188" s="385" t="s">
        <v>380</v>
      </c>
      <c r="E188" s="385" t="s">
        <v>381</v>
      </c>
      <c r="F188" s="385" t="s">
        <v>667</v>
      </c>
      <c r="G188" s="385" t="s">
        <v>19</v>
      </c>
      <c r="H188" s="386">
        <v>68741.42</v>
      </c>
      <c r="I188" s="386">
        <v>0</v>
      </c>
      <c r="J188" s="386">
        <v>65920</v>
      </c>
      <c r="K188" s="386">
        <v>0</v>
      </c>
      <c r="L188" s="387" t="s">
        <v>668</v>
      </c>
    </row>
    <row r="189" spans="1:12" hidden="1">
      <c r="A189" s="385" t="s">
        <v>357</v>
      </c>
      <c r="B189" s="385" t="s">
        <v>289</v>
      </c>
      <c r="C189" s="385" t="s">
        <v>379</v>
      </c>
      <c r="D189" s="385" t="s">
        <v>380</v>
      </c>
      <c r="E189" s="385" t="s">
        <v>381</v>
      </c>
      <c r="F189" s="385" t="s">
        <v>382</v>
      </c>
      <c r="G189" s="385" t="s">
        <v>12</v>
      </c>
      <c r="H189" s="386">
        <v>39732</v>
      </c>
      <c r="I189" s="386">
        <v>0</v>
      </c>
      <c r="J189" s="386">
        <v>27993</v>
      </c>
      <c r="K189" s="386">
        <v>0</v>
      </c>
      <c r="L189" s="387" t="s">
        <v>383</v>
      </c>
    </row>
    <row r="190" spans="1:12" ht="25.5" hidden="1">
      <c r="A190" s="385" t="s">
        <v>506</v>
      </c>
      <c r="B190" s="385" t="s">
        <v>507</v>
      </c>
      <c r="C190" s="385" t="s">
        <v>429</v>
      </c>
      <c r="D190" s="385" t="s">
        <v>380</v>
      </c>
      <c r="E190" s="385" t="s">
        <v>381</v>
      </c>
      <c r="F190" s="385" t="s">
        <v>475</v>
      </c>
      <c r="G190" s="385" t="s">
        <v>19</v>
      </c>
      <c r="H190" s="386">
        <v>0</v>
      </c>
      <c r="I190" s="386">
        <v>0</v>
      </c>
      <c r="J190" s="386">
        <v>18</v>
      </c>
      <c r="K190" s="386">
        <v>0</v>
      </c>
      <c r="L190" s="387" t="s">
        <v>476</v>
      </c>
    </row>
    <row r="191" spans="1:12" ht="25.5" hidden="1">
      <c r="A191" s="385" t="s">
        <v>506</v>
      </c>
      <c r="B191" s="385" t="s">
        <v>507</v>
      </c>
      <c r="C191" s="385" t="s">
        <v>430</v>
      </c>
      <c r="D191" s="385" t="s">
        <v>380</v>
      </c>
      <c r="E191" s="385" t="s">
        <v>381</v>
      </c>
      <c r="F191" s="385" t="s">
        <v>475</v>
      </c>
      <c r="G191" s="385" t="s">
        <v>19</v>
      </c>
      <c r="H191" s="386">
        <v>80000</v>
      </c>
      <c r="I191" s="386">
        <v>0</v>
      </c>
      <c r="J191" s="386">
        <v>53314.5</v>
      </c>
      <c r="K191" s="386">
        <v>0</v>
      </c>
      <c r="L191" s="387" t="s">
        <v>476</v>
      </c>
    </row>
    <row r="192" spans="1:12" hidden="1">
      <c r="A192" s="385" t="s">
        <v>506</v>
      </c>
      <c r="B192" s="385" t="s">
        <v>508</v>
      </c>
      <c r="C192" s="385" t="s">
        <v>413</v>
      </c>
      <c r="D192" s="385" t="s">
        <v>380</v>
      </c>
      <c r="E192" s="385" t="s">
        <v>381</v>
      </c>
      <c r="F192" s="385" t="s">
        <v>461</v>
      </c>
      <c r="G192" s="385" t="s">
        <v>19</v>
      </c>
      <c r="H192" s="386">
        <v>3500</v>
      </c>
      <c r="I192" s="386">
        <v>0</v>
      </c>
      <c r="J192" s="386">
        <v>2547.5100000000002</v>
      </c>
      <c r="K192" s="386">
        <v>0</v>
      </c>
      <c r="L192" s="387" t="s">
        <v>462</v>
      </c>
    </row>
    <row r="193" spans="1:12" hidden="1">
      <c r="A193" s="385" t="s">
        <v>506</v>
      </c>
      <c r="B193" s="385" t="s">
        <v>509</v>
      </c>
      <c r="C193" s="385" t="s">
        <v>412</v>
      </c>
      <c r="D193" s="385" t="s">
        <v>380</v>
      </c>
      <c r="E193" s="385" t="s">
        <v>381</v>
      </c>
      <c r="F193" s="385" t="s">
        <v>386</v>
      </c>
      <c r="G193" s="385" t="s">
        <v>19</v>
      </c>
      <c r="H193" s="386">
        <v>0</v>
      </c>
      <c r="I193" s="386">
        <v>0</v>
      </c>
      <c r="J193" s="386">
        <v>0</v>
      </c>
      <c r="K193" s="386">
        <v>0</v>
      </c>
      <c r="L193" s="387" t="s">
        <v>387</v>
      </c>
    </row>
    <row r="194" spans="1:12" hidden="1">
      <c r="A194" s="385" t="s">
        <v>506</v>
      </c>
      <c r="B194" s="385" t="s">
        <v>509</v>
      </c>
      <c r="C194" s="385" t="s">
        <v>385</v>
      </c>
      <c r="D194" s="385" t="s">
        <v>380</v>
      </c>
      <c r="E194" s="385" t="s">
        <v>381</v>
      </c>
      <c r="F194" s="385" t="s">
        <v>386</v>
      </c>
      <c r="G194" s="385" t="s">
        <v>19</v>
      </c>
      <c r="H194" s="386">
        <v>0</v>
      </c>
      <c r="I194" s="386">
        <v>0</v>
      </c>
      <c r="J194" s="386">
        <v>0</v>
      </c>
      <c r="K194" s="386">
        <v>0</v>
      </c>
      <c r="L194" s="387" t="s">
        <v>387</v>
      </c>
    </row>
    <row r="195" spans="1:12" hidden="1">
      <c r="A195" s="385" t="s">
        <v>506</v>
      </c>
      <c r="B195" s="385" t="s">
        <v>509</v>
      </c>
      <c r="C195" s="385" t="s">
        <v>413</v>
      </c>
      <c r="D195" s="385" t="s">
        <v>380</v>
      </c>
      <c r="E195" s="385" t="s">
        <v>381</v>
      </c>
      <c r="F195" s="385" t="s">
        <v>386</v>
      </c>
      <c r="G195" s="385" t="s">
        <v>19</v>
      </c>
      <c r="H195" s="386">
        <v>0</v>
      </c>
      <c r="I195" s="386">
        <v>0</v>
      </c>
      <c r="J195" s="386">
        <v>0</v>
      </c>
      <c r="K195" s="386">
        <v>0</v>
      </c>
      <c r="L195" s="387" t="s">
        <v>387</v>
      </c>
    </row>
    <row r="196" spans="1:12" hidden="1">
      <c r="A196" s="385" t="s">
        <v>506</v>
      </c>
      <c r="B196" s="385" t="s">
        <v>509</v>
      </c>
      <c r="C196" s="385" t="s">
        <v>430</v>
      </c>
      <c r="D196" s="385" t="s">
        <v>380</v>
      </c>
      <c r="E196" s="385" t="s">
        <v>381</v>
      </c>
      <c r="F196" s="385" t="s">
        <v>473</v>
      </c>
      <c r="G196" s="385" t="s">
        <v>19</v>
      </c>
      <c r="H196" s="386">
        <v>232900</v>
      </c>
      <c r="I196" s="386">
        <v>0</v>
      </c>
      <c r="J196" s="386">
        <v>147566.01</v>
      </c>
      <c r="K196" s="386">
        <v>0</v>
      </c>
      <c r="L196" s="387" t="s">
        <v>474</v>
      </c>
    </row>
    <row r="197" spans="1:12" hidden="1">
      <c r="A197" s="385" t="s">
        <v>506</v>
      </c>
      <c r="B197" s="385" t="s">
        <v>509</v>
      </c>
      <c r="C197" s="385" t="s">
        <v>391</v>
      </c>
      <c r="D197" s="385" t="s">
        <v>380</v>
      </c>
      <c r="E197" s="385" t="s">
        <v>381</v>
      </c>
      <c r="F197" s="385" t="s">
        <v>386</v>
      </c>
      <c r="G197" s="385" t="s">
        <v>19</v>
      </c>
      <c r="H197" s="386">
        <v>0</v>
      </c>
      <c r="I197" s="386">
        <v>0</v>
      </c>
      <c r="J197" s="386">
        <v>0</v>
      </c>
      <c r="K197" s="386">
        <v>0</v>
      </c>
      <c r="L197" s="387" t="s">
        <v>387</v>
      </c>
    </row>
    <row r="198" spans="1:12" hidden="1">
      <c r="A198" s="385" t="s">
        <v>298</v>
      </c>
      <c r="B198" s="385" t="s">
        <v>299</v>
      </c>
      <c r="C198" s="385" t="s">
        <v>385</v>
      </c>
      <c r="D198" s="385" t="s">
        <v>380</v>
      </c>
      <c r="E198" s="385" t="s">
        <v>381</v>
      </c>
      <c r="F198" s="385" t="s">
        <v>467</v>
      </c>
      <c r="G198" s="385" t="s">
        <v>19</v>
      </c>
      <c r="H198" s="386">
        <v>0</v>
      </c>
      <c r="I198" s="386">
        <v>0</v>
      </c>
      <c r="J198" s="386">
        <v>82.8</v>
      </c>
      <c r="K198" s="386">
        <v>0</v>
      </c>
      <c r="L198" s="387" t="s">
        <v>353</v>
      </c>
    </row>
    <row r="199" spans="1:12" hidden="1">
      <c r="A199" s="385" t="s">
        <v>298</v>
      </c>
      <c r="B199" s="385" t="s">
        <v>299</v>
      </c>
      <c r="C199" s="385" t="s">
        <v>511</v>
      </c>
      <c r="D199" s="385" t="s">
        <v>380</v>
      </c>
      <c r="E199" s="385" t="s">
        <v>381</v>
      </c>
      <c r="F199" s="385" t="s">
        <v>467</v>
      </c>
      <c r="G199" s="385" t="s">
        <v>19</v>
      </c>
      <c r="H199" s="386">
        <v>30000</v>
      </c>
      <c r="I199" s="386">
        <v>0</v>
      </c>
      <c r="J199" s="386">
        <v>46334.67</v>
      </c>
      <c r="K199" s="386">
        <v>0</v>
      </c>
      <c r="L199" s="387" t="s">
        <v>353</v>
      </c>
    </row>
    <row r="200" spans="1:12" hidden="1">
      <c r="A200" s="385" t="s">
        <v>298</v>
      </c>
      <c r="B200" s="385" t="s">
        <v>299</v>
      </c>
      <c r="C200" s="385" t="s">
        <v>391</v>
      </c>
      <c r="D200" s="385" t="s">
        <v>380</v>
      </c>
      <c r="E200" s="385" t="s">
        <v>381</v>
      </c>
      <c r="F200" s="385" t="s">
        <v>467</v>
      </c>
      <c r="G200" s="385" t="s">
        <v>19</v>
      </c>
      <c r="H200" s="386">
        <v>30000</v>
      </c>
      <c r="I200" s="386">
        <v>0</v>
      </c>
      <c r="J200" s="386">
        <v>46718.21</v>
      </c>
      <c r="K200" s="386">
        <v>0</v>
      </c>
      <c r="L200" s="387" t="s">
        <v>353</v>
      </c>
    </row>
    <row r="201" spans="1:12" hidden="1">
      <c r="A201" s="385" t="s">
        <v>298</v>
      </c>
      <c r="B201" s="385" t="s">
        <v>299</v>
      </c>
      <c r="C201" s="385" t="s">
        <v>394</v>
      </c>
      <c r="D201" s="385" t="s">
        <v>380</v>
      </c>
      <c r="E201" s="385" t="s">
        <v>381</v>
      </c>
      <c r="F201" s="385" t="s">
        <v>467</v>
      </c>
      <c r="G201" s="385" t="s">
        <v>19</v>
      </c>
      <c r="H201" s="386">
        <v>0</v>
      </c>
      <c r="I201" s="386">
        <v>0</v>
      </c>
      <c r="J201" s="386">
        <v>1381</v>
      </c>
      <c r="K201" s="386">
        <v>0</v>
      </c>
      <c r="L201" s="387" t="s">
        <v>353</v>
      </c>
    </row>
    <row r="202" spans="1:12" hidden="1">
      <c r="A202" s="385" t="s">
        <v>298</v>
      </c>
      <c r="B202" s="385" t="s">
        <v>299</v>
      </c>
      <c r="C202" s="385" t="s">
        <v>481</v>
      </c>
      <c r="D202" s="385" t="s">
        <v>380</v>
      </c>
      <c r="E202" s="385" t="s">
        <v>381</v>
      </c>
      <c r="F202" s="385" t="s">
        <v>482</v>
      </c>
      <c r="G202" s="385" t="s">
        <v>19</v>
      </c>
      <c r="H202" s="386">
        <v>19185</v>
      </c>
      <c r="I202" s="386">
        <v>0</v>
      </c>
      <c r="J202" s="386">
        <v>19185</v>
      </c>
      <c r="K202" s="386">
        <v>0</v>
      </c>
      <c r="L202" s="387" t="s">
        <v>483</v>
      </c>
    </row>
    <row r="203" spans="1:12" hidden="1">
      <c r="A203" s="385" t="s">
        <v>298</v>
      </c>
      <c r="B203" s="385" t="s">
        <v>299</v>
      </c>
      <c r="C203" s="385" t="s">
        <v>487</v>
      </c>
      <c r="D203" s="385" t="s">
        <v>380</v>
      </c>
      <c r="E203" s="385" t="s">
        <v>381</v>
      </c>
      <c r="F203" s="385" t="s">
        <v>382</v>
      </c>
      <c r="G203" s="385" t="s">
        <v>19</v>
      </c>
      <c r="H203" s="386">
        <v>53631</v>
      </c>
      <c r="I203" s="386">
        <v>0</v>
      </c>
      <c r="J203" s="386">
        <v>35754</v>
      </c>
      <c r="K203" s="386">
        <v>0</v>
      </c>
      <c r="L203" s="387" t="s">
        <v>383</v>
      </c>
    </row>
    <row r="204" spans="1:12" ht="25.5" hidden="1">
      <c r="A204" s="385" t="s">
        <v>298</v>
      </c>
      <c r="B204" s="385" t="s">
        <v>299</v>
      </c>
      <c r="C204" s="385" t="s">
        <v>505</v>
      </c>
      <c r="D204" s="385" t="s">
        <v>380</v>
      </c>
      <c r="E204" s="385" t="s">
        <v>381</v>
      </c>
      <c r="F204" s="385" t="s">
        <v>751</v>
      </c>
      <c r="G204" s="385" t="s">
        <v>19</v>
      </c>
      <c r="H204" s="386">
        <v>227576</v>
      </c>
      <c r="I204" s="386">
        <v>0</v>
      </c>
      <c r="J204" s="386">
        <v>151716</v>
      </c>
      <c r="K204" s="386">
        <v>0</v>
      </c>
      <c r="L204" s="387" t="s">
        <v>752</v>
      </c>
    </row>
    <row r="205" spans="1:12" hidden="1">
      <c r="A205" s="385" t="s">
        <v>298</v>
      </c>
      <c r="B205" s="385" t="s">
        <v>299</v>
      </c>
      <c r="C205" s="385" t="s">
        <v>505</v>
      </c>
      <c r="D205" s="385" t="s">
        <v>380</v>
      </c>
      <c r="E205" s="385" t="s">
        <v>381</v>
      </c>
      <c r="F205" s="385" t="s">
        <v>382</v>
      </c>
      <c r="G205" s="385" t="s">
        <v>19</v>
      </c>
      <c r="H205" s="386">
        <v>0</v>
      </c>
      <c r="I205" s="386">
        <v>0</v>
      </c>
      <c r="J205" s="386">
        <v>0</v>
      </c>
      <c r="K205" s="386">
        <v>0</v>
      </c>
      <c r="L205" s="387" t="s">
        <v>383</v>
      </c>
    </row>
    <row r="206" spans="1:12" hidden="1">
      <c r="A206" s="385" t="s">
        <v>298</v>
      </c>
      <c r="B206" s="385" t="s">
        <v>299</v>
      </c>
      <c r="C206" s="385" t="s">
        <v>493</v>
      </c>
      <c r="D206" s="385" t="s">
        <v>380</v>
      </c>
      <c r="E206" s="385" t="s">
        <v>381</v>
      </c>
      <c r="F206" s="385" t="s">
        <v>467</v>
      </c>
      <c r="G206" s="385" t="s">
        <v>19</v>
      </c>
      <c r="H206" s="386">
        <v>1750000</v>
      </c>
      <c r="I206" s="386">
        <v>0</v>
      </c>
      <c r="J206" s="386">
        <v>1491308.09</v>
      </c>
      <c r="K206" s="386">
        <v>0</v>
      </c>
      <c r="L206" s="387" t="s">
        <v>353</v>
      </c>
    </row>
    <row r="207" spans="1:12" hidden="1">
      <c r="A207" s="385" t="s">
        <v>298</v>
      </c>
      <c r="B207" s="385" t="s">
        <v>300</v>
      </c>
      <c r="C207" s="385" t="s">
        <v>385</v>
      </c>
      <c r="D207" s="385" t="s">
        <v>380</v>
      </c>
      <c r="E207" s="385" t="s">
        <v>381</v>
      </c>
      <c r="F207" s="385" t="s">
        <v>467</v>
      </c>
      <c r="G207" s="385" t="s">
        <v>19</v>
      </c>
      <c r="H207" s="386">
        <v>0</v>
      </c>
      <c r="I207" s="386">
        <v>0</v>
      </c>
      <c r="J207" s="386">
        <v>0</v>
      </c>
      <c r="K207" s="386">
        <v>0</v>
      </c>
      <c r="L207" s="387" t="s">
        <v>353</v>
      </c>
    </row>
    <row r="208" spans="1:12" hidden="1">
      <c r="A208" s="385" t="s">
        <v>298</v>
      </c>
      <c r="B208" s="385" t="s">
        <v>300</v>
      </c>
      <c r="C208" s="385" t="s">
        <v>511</v>
      </c>
      <c r="D208" s="385" t="s">
        <v>380</v>
      </c>
      <c r="E208" s="385" t="s">
        <v>381</v>
      </c>
      <c r="F208" s="385" t="s">
        <v>467</v>
      </c>
      <c r="G208" s="385" t="s">
        <v>19</v>
      </c>
      <c r="H208" s="386">
        <v>10000</v>
      </c>
      <c r="I208" s="386">
        <v>0</v>
      </c>
      <c r="J208" s="386">
        <v>2985.64</v>
      </c>
      <c r="K208" s="386">
        <v>0</v>
      </c>
      <c r="L208" s="387" t="s">
        <v>353</v>
      </c>
    </row>
    <row r="209" spans="1:12" hidden="1">
      <c r="A209" s="385" t="s">
        <v>298</v>
      </c>
      <c r="B209" s="385" t="s">
        <v>300</v>
      </c>
      <c r="C209" s="385" t="s">
        <v>391</v>
      </c>
      <c r="D209" s="385" t="s">
        <v>380</v>
      </c>
      <c r="E209" s="385" t="s">
        <v>381</v>
      </c>
      <c r="F209" s="385" t="s">
        <v>467</v>
      </c>
      <c r="G209" s="385" t="s">
        <v>19</v>
      </c>
      <c r="H209" s="386">
        <v>2000</v>
      </c>
      <c r="I209" s="386">
        <v>0</v>
      </c>
      <c r="J209" s="386">
        <v>2529.02</v>
      </c>
      <c r="K209" s="386">
        <v>0</v>
      </c>
      <c r="L209" s="387" t="s">
        <v>353</v>
      </c>
    </row>
    <row r="210" spans="1:12" hidden="1">
      <c r="A210" s="385" t="s">
        <v>298</v>
      </c>
      <c r="B210" s="385" t="s">
        <v>300</v>
      </c>
      <c r="C210" s="385" t="s">
        <v>394</v>
      </c>
      <c r="D210" s="385" t="s">
        <v>380</v>
      </c>
      <c r="E210" s="385" t="s">
        <v>381</v>
      </c>
      <c r="F210" s="385" t="s">
        <v>467</v>
      </c>
      <c r="G210" s="385" t="s">
        <v>19</v>
      </c>
      <c r="H210" s="386">
        <v>0</v>
      </c>
      <c r="I210" s="386">
        <v>0</v>
      </c>
      <c r="J210" s="386">
        <v>0</v>
      </c>
      <c r="K210" s="386">
        <v>0</v>
      </c>
      <c r="L210" s="387" t="s">
        <v>353</v>
      </c>
    </row>
    <row r="211" spans="1:12" ht="25.5" hidden="1">
      <c r="A211" s="385" t="s">
        <v>298</v>
      </c>
      <c r="B211" s="385" t="s">
        <v>300</v>
      </c>
      <c r="C211" s="385" t="s">
        <v>431</v>
      </c>
      <c r="D211" s="385" t="s">
        <v>380</v>
      </c>
      <c r="E211" s="385" t="s">
        <v>381</v>
      </c>
      <c r="F211" s="385" t="s">
        <v>459</v>
      </c>
      <c r="G211" s="385" t="s">
        <v>19</v>
      </c>
      <c r="H211" s="386">
        <v>0</v>
      </c>
      <c r="I211" s="386">
        <v>0</v>
      </c>
      <c r="J211" s="386">
        <v>0</v>
      </c>
      <c r="K211" s="386">
        <v>0</v>
      </c>
      <c r="L211" s="387" t="s">
        <v>460</v>
      </c>
    </row>
    <row r="212" spans="1:12" ht="25.5" hidden="1">
      <c r="A212" s="385" t="s">
        <v>298</v>
      </c>
      <c r="B212" s="385" t="s">
        <v>300</v>
      </c>
      <c r="C212" s="385" t="s">
        <v>396</v>
      </c>
      <c r="D212" s="385" t="s">
        <v>380</v>
      </c>
      <c r="E212" s="385" t="s">
        <v>381</v>
      </c>
      <c r="F212" s="385" t="s">
        <v>459</v>
      </c>
      <c r="G212" s="385" t="s">
        <v>19</v>
      </c>
      <c r="H212" s="386">
        <v>0</v>
      </c>
      <c r="I212" s="386">
        <v>0</v>
      </c>
      <c r="J212" s="386">
        <v>14562.77</v>
      </c>
      <c r="K212" s="386">
        <v>0</v>
      </c>
      <c r="L212" s="387" t="s">
        <v>460</v>
      </c>
    </row>
    <row r="213" spans="1:12" hidden="1">
      <c r="A213" s="385" t="s">
        <v>298</v>
      </c>
      <c r="B213" s="385" t="s">
        <v>300</v>
      </c>
      <c r="C213" s="385" t="s">
        <v>481</v>
      </c>
      <c r="D213" s="385" t="s">
        <v>380</v>
      </c>
      <c r="E213" s="385" t="s">
        <v>381</v>
      </c>
      <c r="F213" s="385" t="s">
        <v>482</v>
      </c>
      <c r="G213" s="385" t="s">
        <v>19</v>
      </c>
      <c r="H213" s="386">
        <v>215770</v>
      </c>
      <c r="I213" s="386">
        <v>0</v>
      </c>
      <c r="J213" s="386">
        <v>215770</v>
      </c>
      <c r="K213" s="386">
        <v>0</v>
      </c>
      <c r="L213" s="387" t="s">
        <v>483</v>
      </c>
    </row>
    <row r="214" spans="1:12" hidden="1">
      <c r="A214" s="385" t="s">
        <v>298</v>
      </c>
      <c r="B214" s="385" t="s">
        <v>300</v>
      </c>
      <c r="C214" s="385" t="s">
        <v>379</v>
      </c>
      <c r="D214" s="385" t="s">
        <v>380</v>
      </c>
      <c r="E214" s="385" t="s">
        <v>381</v>
      </c>
      <c r="F214" s="385" t="s">
        <v>382</v>
      </c>
      <c r="G214" s="385" t="s">
        <v>12</v>
      </c>
      <c r="H214" s="386">
        <v>125437</v>
      </c>
      <c r="I214" s="386">
        <v>0</v>
      </c>
      <c r="J214" s="386">
        <v>82489</v>
      </c>
      <c r="K214" s="386">
        <v>0</v>
      </c>
      <c r="L214" s="387" t="s">
        <v>383</v>
      </c>
    </row>
    <row r="215" spans="1:12" hidden="1">
      <c r="A215" s="385" t="s">
        <v>298</v>
      </c>
      <c r="B215" s="385" t="s">
        <v>300</v>
      </c>
      <c r="C215" s="385" t="s">
        <v>487</v>
      </c>
      <c r="D215" s="385" t="s">
        <v>380</v>
      </c>
      <c r="E215" s="385" t="s">
        <v>381</v>
      </c>
      <c r="F215" s="385" t="s">
        <v>382</v>
      </c>
      <c r="G215" s="385" t="s">
        <v>19</v>
      </c>
      <c r="H215" s="386">
        <v>526005</v>
      </c>
      <c r="I215" s="386">
        <v>0</v>
      </c>
      <c r="J215" s="386">
        <v>350670</v>
      </c>
      <c r="K215" s="386">
        <v>0</v>
      </c>
      <c r="L215" s="387" t="s">
        <v>383</v>
      </c>
    </row>
    <row r="216" spans="1:12" hidden="1">
      <c r="A216" s="385" t="s">
        <v>298</v>
      </c>
      <c r="B216" s="385" t="s">
        <v>300</v>
      </c>
      <c r="C216" s="385" t="s">
        <v>493</v>
      </c>
      <c r="D216" s="385" t="s">
        <v>380</v>
      </c>
      <c r="E216" s="385" t="s">
        <v>381</v>
      </c>
      <c r="F216" s="385" t="s">
        <v>467</v>
      </c>
      <c r="G216" s="385" t="s">
        <v>19</v>
      </c>
      <c r="H216" s="386">
        <v>0</v>
      </c>
      <c r="I216" s="386">
        <v>0</v>
      </c>
      <c r="J216" s="386">
        <v>3727.19</v>
      </c>
      <c r="K216" s="386">
        <v>0</v>
      </c>
      <c r="L216" s="387" t="s">
        <v>353</v>
      </c>
    </row>
    <row r="217" spans="1:12" ht="25.5" hidden="1">
      <c r="A217" s="385" t="s">
        <v>298</v>
      </c>
      <c r="B217" s="385" t="s">
        <v>300</v>
      </c>
      <c r="C217" s="385" t="s">
        <v>493</v>
      </c>
      <c r="D217" s="385" t="s">
        <v>380</v>
      </c>
      <c r="E217" s="385" t="s">
        <v>381</v>
      </c>
      <c r="F217" s="385" t="s">
        <v>459</v>
      </c>
      <c r="G217" s="385" t="s">
        <v>19</v>
      </c>
      <c r="H217" s="386">
        <v>2750000</v>
      </c>
      <c r="I217" s="386">
        <v>0</v>
      </c>
      <c r="J217" s="386">
        <v>1723995.55</v>
      </c>
      <c r="K217" s="386">
        <v>0</v>
      </c>
      <c r="L217" s="387" t="s">
        <v>460</v>
      </c>
    </row>
    <row r="218" spans="1:12" hidden="1">
      <c r="A218" s="385" t="s">
        <v>298</v>
      </c>
      <c r="B218" s="385" t="s">
        <v>300</v>
      </c>
      <c r="C218" s="385" t="s">
        <v>485</v>
      </c>
      <c r="D218" s="385" t="s">
        <v>380</v>
      </c>
      <c r="E218" s="385" t="s">
        <v>381</v>
      </c>
      <c r="F218" s="385" t="s">
        <v>467</v>
      </c>
      <c r="G218" s="385" t="s">
        <v>19</v>
      </c>
      <c r="H218" s="386">
        <v>0</v>
      </c>
      <c r="I218" s="386">
        <v>0</v>
      </c>
      <c r="J218" s="386">
        <v>0</v>
      </c>
      <c r="K218" s="386">
        <v>0</v>
      </c>
      <c r="L218" s="387" t="s">
        <v>353</v>
      </c>
    </row>
    <row r="219" spans="1:12" hidden="1">
      <c r="A219" s="385" t="s">
        <v>302</v>
      </c>
      <c r="B219" s="385" t="s">
        <v>199</v>
      </c>
      <c r="C219" s="385" t="s">
        <v>385</v>
      </c>
      <c r="D219" s="385" t="s">
        <v>380</v>
      </c>
      <c r="E219" s="385" t="s">
        <v>381</v>
      </c>
      <c r="F219" s="385" t="s">
        <v>386</v>
      </c>
      <c r="G219" s="385" t="s">
        <v>19</v>
      </c>
      <c r="H219" s="386">
        <v>0</v>
      </c>
      <c r="I219" s="386">
        <v>0</v>
      </c>
      <c r="J219" s="386">
        <v>0</v>
      </c>
      <c r="K219" s="386">
        <v>0</v>
      </c>
      <c r="L219" s="387" t="s">
        <v>387</v>
      </c>
    </row>
    <row r="220" spans="1:12" ht="38.25" hidden="1">
      <c r="A220" s="385" t="s">
        <v>302</v>
      </c>
      <c r="B220" s="385" t="s">
        <v>199</v>
      </c>
      <c r="C220" s="385" t="s">
        <v>385</v>
      </c>
      <c r="D220" s="385" t="s">
        <v>380</v>
      </c>
      <c r="E220" s="385" t="s">
        <v>381</v>
      </c>
      <c r="F220" s="385" t="s">
        <v>441</v>
      </c>
      <c r="G220" s="385" t="s">
        <v>19</v>
      </c>
      <c r="H220" s="386">
        <v>0</v>
      </c>
      <c r="I220" s="386">
        <v>0</v>
      </c>
      <c r="J220" s="386">
        <v>48</v>
      </c>
      <c r="K220" s="386">
        <v>0</v>
      </c>
      <c r="L220" s="387" t="s">
        <v>442</v>
      </c>
    </row>
    <row r="221" spans="1:12" hidden="1">
      <c r="A221" s="385" t="s">
        <v>302</v>
      </c>
      <c r="B221" s="385" t="s">
        <v>199</v>
      </c>
      <c r="C221" s="385" t="s">
        <v>429</v>
      </c>
      <c r="D221" s="385" t="s">
        <v>380</v>
      </c>
      <c r="E221" s="385" t="s">
        <v>381</v>
      </c>
      <c r="F221" s="385" t="s">
        <v>382</v>
      </c>
      <c r="G221" s="385" t="s">
        <v>19</v>
      </c>
      <c r="H221" s="386">
        <v>620000</v>
      </c>
      <c r="I221" s="386">
        <v>0</v>
      </c>
      <c r="J221" s="386">
        <v>644265.04</v>
      </c>
      <c r="K221" s="386">
        <v>0</v>
      </c>
      <c r="L221" s="387" t="s">
        <v>383</v>
      </c>
    </row>
    <row r="222" spans="1:12" hidden="1">
      <c r="A222" s="385" t="s">
        <v>302</v>
      </c>
      <c r="B222" s="385" t="s">
        <v>199</v>
      </c>
      <c r="C222" s="385" t="s">
        <v>429</v>
      </c>
      <c r="D222" s="385" t="s">
        <v>380</v>
      </c>
      <c r="E222" s="385" t="s">
        <v>381</v>
      </c>
      <c r="F222" s="385" t="s">
        <v>386</v>
      </c>
      <c r="G222" s="385" t="s">
        <v>19</v>
      </c>
      <c r="H222" s="386">
        <v>0</v>
      </c>
      <c r="I222" s="386">
        <v>0</v>
      </c>
      <c r="J222" s="386">
        <v>0</v>
      </c>
      <c r="K222" s="386">
        <v>0</v>
      </c>
      <c r="L222" s="387" t="s">
        <v>387</v>
      </c>
    </row>
    <row r="223" spans="1:12" ht="38.25" hidden="1">
      <c r="A223" s="385" t="s">
        <v>302</v>
      </c>
      <c r="B223" s="385" t="s">
        <v>199</v>
      </c>
      <c r="C223" s="385" t="s">
        <v>429</v>
      </c>
      <c r="D223" s="385" t="s">
        <v>380</v>
      </c>
      <c r="E223" s="385" t="s">
        <v>381</v>
      </c>
      <c r="F223" s="385" t="s">
        <v>441</v>
      </c>
      <c r="G223" s="385" t="s">
        <v>19</v>
      </c>
      <c r="H223" s="386">
        <v>0</v>
      </c>
      <c r="I223" s="386">
        <v>0</v>
      </c>
      <c r="J223" s="386">
        <v>13920</v>
      </c>
      <c r="K223" s="386">
        <v>0</v>
      </c>
      <c r="L223" s="387" t="s">
        <v>442</v>
      </c>
    </row>
    <row r="224" spans="1:12" hidden="1">
      <c r="A224" s="385" t="s">
        <v>302</v>
      </c>
      <c r="B224" s="385" t="s">
        <v>199</v>
      </c>
      <c r="C224" s="385" t="s">
        <v>753</v>
      </c>
      <c r="D224" s="385" t="s">
        <v>380</v>
      </c>
      <c r="E224" s="385" t="s">
        <v>381</v>
      </c>
      <c r="F224" s="385" t="s">
        <v>386</v>
      </c>
      <c r="G224" s="385" t="s">
        <v>19</v>
      </c>
      <c r="H224" s="386">
        <v>0</v>
      </c>
      <c r="I224" s="386">
        <v>0</v>
      </c>
      <c r="J224" s="386">
        <v>569</v>
      </c>
      <c r="K224" s="386">
        <v>0</v>
      </c>
      <c r="L224" s="387" t="s">
        <v>387</v>
      </c>
    </row>
    <row r="225" spans="1:12" ht="38.25" hidden="1">
      <c r="A225" s="385" t="s">
        <v>302</v>
      </c>
      <c r="B225" s="385" t="s">
        <v>199</v>
      </c>
      <c r="C225" s="385" t="s">
        <v>391</v>
      </c>
      <c r="D225" s="385" t="s">
        <v>380</v>
      </c>
      <c r="E225" s="385" t="s">
        <v>381</v>
      </c>
      <c r="F225" s="385" t="s">
        <v>441</v>
      </c>
      <c r="G225" s="385" t="s">
        <v>19</v>
      </c>
      <c r="H225" s="386">
        <v>0</v>
      </c>
      <c r="I225" s="386">
        <v>0</v>
      </c>
      <c r="J225" s="386">
        <v>0</v>
      </c>
      <c r="K225" s="386">
        <v>0</v>
      </c>
      <c r="L225" s="387" t="s">
        <v>442</v>
      </c>
    </row>
    <row r="226" spans="1:12" ht="38.25" hidden="1">
      <c r="A226" s="385" t="s">
        <v>302</v>
      </c>
      <c r="B226" s="385" t="s">
        <v>199</v>
      </c>
      <c r="C226" s="385" t="s">
        <v>396</v>
      </c>
      <c r="D226" s="385" t="s">
        <v>397</v>
      </c>
      <c r="E226" s="385" t="s">
        <v>381</v>
      </c>
      <c r="F226" s="385" t="s">
        <v>441</v>
      </c>
      <c r="G226" s="385" t="s">
        <v>19</v>
      </c>
      <c r="H226" s="386">
        <v>0</v>
      </c>
      <c r="I226" s="386">
        <v>0</v>
      </c>
      <c r="J226" s="386">
        <v>28</v>
      </c>
      <c r="K226" s="386">
        <v>0</v>
      </c>
      <c r="L226" s="387" t="s">
        <v>442</v>
      </c>
    </row>
    <row r="227" spans="1:12" hidden="1">
      <c r="A227" s="385" t="s">
        <v>512</v>
      </c>
      <c r="B227" s="385" t="s">
        <v>513</v>
      </c>
      <c r="C227" s="385" t="s">
        <v>412</v>
      </c>
      <c r="D227" s="385" t="s">
        <v>380</v>
      </c>
      <c r="E227" s="385" t="s">
        <v>381</v>
      </c>
      <c r="F227" s="385" t="s">
        <v>386</v>
      </c>
      <c r="G227" s="385" t="s">
        <v>19</v>
      </c>
      <c r="H227" s="386">
        <v>0</v>
      </c>
      <c r="I227" s="386">
        <v>0</v>
      </c>
      <c r="J227" s="386">
        <v>0</v>
      </c>
      <c r="K227" s="386">
        <v>0</v>
      </c>
      <c r="L227" s="387" t="s">
        <v>387</v>
      </c>
    </row>
    <row r="228" spans="1:12" hidden="1">
      <c r="A228" s="385" t="s">
        <v>512</v>
      </c>
      <c r="B228" s="385" t="s">
        <v>513</v>
      </c>
      <c r="C228" s="385" t="s">
        <v>412</v>
      </c>
      <c r="D228" s="385" t="s">
        <v>380</v>
      </c>
      <c r="E228" s="385" t="s">
        <v>381</v>
      </c>
      <c r="F228" s="385" t="s">
        <v>471</v>
      </c>
      <c r="G228" s="385" t="s">
        <v>19</v>
      </c>
      <c r="H228" s="386">
        <v>0</v>
      </c>
      <c r="I228" s="386">
        <v>0</v>
      </c>
      <c r="J228" s="386">
        <v>0</v>
      </c>
      <c r="K228" s="386">
        <v>0</v>
      </c>
      <c r="L228" s="387" t="s">
        <v>472</v>
      </c>
    </row>
    <row r="229" spans="1:12" hidden="1">
      <c r="A229" s="385" t="s">
        <v>512</v>
      </c>
      <c r="B229" s="385" t="s">
        <v>513</v>
      </c>
      <c r="C229" s="385" t="s">
        <v>413</v>
      </c>
      <c r="D229" s="385" t="s">
        <v>380</v>
      </c>
      <c r="E229" s="385" t="s">
        <v>381</v>
      </c>
      <c r="F229" s="385" t="s">
        <v>471</v>
      </c>
      <c r="G229" s="385" t="s">
        <v>19</v>
      </c>
      <c r="H229" s="386">
        <v>700000</v>
      </c>
      <c r="I229" s="386">
        <v>0</v>
      </c>
      <c r="J229" s="386">
        <v>339401.86</v>
      </c>
      <c r="K229" s="386">
        <v>0</v>
      </c>
      <c r="L229" s="387" t="s">
        <v>472</v>
      </c>
    </row>
    <row r="230" spans="1:12" hidden="1">
      <c r="A230" s="385" t="s">
        <v>512</v>
      </c>
      <c r="B230" s="385" t="s">
        <v>513</v>
      </c>
      <c r="C230" s="385" t="s">
        <v>430</v>
      </c>
      <c r="D230" s="385" t="s">
        <v>380</v>
      </c>
      <c r="E230" s="385" t="s">
        <v>381</v>
      </c>
      <c r="F230" s="385" t="s">
        <v>471</v>
      </c>
      <c r="G230" s="385" t="s">
        <v>19</v>
      </c>
      <c r="H230" s="386">
        <v>1500000</v>
      </c>
      <c r="I230" s="386">
        <v>0</v>
      </c>
      <c r="J230" s="386">
        <v>878744.69</v>
      </c>
      <c r="K230" s="386">
        <v>0</v>
      </c>
      <c r="L230" s="387" t="s">
        <v>472</v>
      </c>
    </row>
    <row r="231" spans="1:12" hidden="1">
      <c r="A231" s="385" t="s">
        <v>512</v>
      </c>
      <c r="B231" s="385" t="s">
        <v>513</v>
      </c>
      <c r="C231" s="385" t="s">
        <v>391</v>
      </c>
      <c r="D231" s="385" t="s">
        <v>380</v>
      </c>
      <c r="E231" s="385" t="s">
        <v>381</v>
      </c>
      <c r="F231" s="385" t="s">
        <v>386</v>
      </c>
      <c r="G231" s="385" t="s">
        <v>19</v>
      </c>
      <c r="H231" s="386">
        <v>0</v>
      </c>
      <c r="I231" s="386">
        <v>0</v>
      </c>
      <c r="J231" s="386">
        <v>0</v>
      </c>
      <c r="K231" s="386">
        <v>0</v>
      </c>
      <c r="L231" s="387" t="s">
        <v>387</v>
      </c>
    </row>
    <row r="232" spans="1:12" hidden="1">
      <c r="A232" s="385" t="s">
        <v>512</v>
      </c>
      <c r="B232" s="385" t="s">
        <v>513</v>
      </c>
      <c r="C232" s="385" t="s">
        <v>391</v>
      </c>
      <c r="D232" s="385" t="s">
        <v>380</v>
      </c>
      <c r="E232" s="385" t="s">
        <v>381</v>
      </c>
      <c r="F232" s="385" t="s">
        <v>471</v>
      </c>
      <c r="G232" s="385" t="s">
        <v>19</v>
      </c>
      <c r="H232" s="386">
        <v>0</v>
      </c>
      <c r="I232" s="386">
        <v>0</v>
      </c>
      <c r="J232" s="386">
        <v>152.91</v>
      </c>
      <c r="K232" s="386">
        <v>0</v>
      </c>
      <c r="L232" s="387" t="s">
        <v>472</v>
      </c>
    </row>
    <row r="233" spans="1:12" hidden="1">
      <c r="A233" s="385" t="s">
        <v>512</v>
      </c>
      <c r="B233" s="385" t="s">
        <v>513</v>
      </c>
      <c r="C233" s="385" t="s">
        <v>394</v>
      </c>
      <c r="D233" s="385" t="s">
        <v>380</v>
      </c>
      <c r="E233" s="385" t="s">
        <v>381</v>
      </c>
      <c r="F233" s="385" t="s">
        <v>471</v>
      </c>
      <c r="G233" s="385" t="s">
        <v>19</v>
      </c>
      <c r="H233" s="386">
        <v>0</v>
      </c>
      <c r="I233" s="386">
        <v>0</v>
      </c>
      <c r="J233" s="386">
        <v>205.34</v>
      </c>
      <c r="K233" s="386">
        <v>0</v>
      </c>
      <c r="L233" s="387" t="s">
        <v>472</v>
      </c>
    </row>
    <row r="234" spans="1:12" hidden="1">
      <c r="A234" s="385" t="s">
        <v>512</v>
      </c>
      <c r="B234" s="385" t="s">
        <v>513</v>
      </c>
      <c r="C234" s="385" t="s">
        <v>395</v>
      </c>
      <c r="D234" s="385" t="s">
        <v>380</v>
      </c>
      <c r="E234" s="385" t="s">
        <v>381</v>
      </c>
      <c r="F234" s="385" t="s">
        <v>471</v>
      </c>
      <c r="G234" s="385" t="s">
        <v>19</v>
      </c>
      <c r="H234" s="386">
        <v>0</v>
      </c>
      <c r="I234" s="386">
        <v>0</v>
      </c>
      <c r="J234" s="386">
        <v>412.05</v>
      </c>
      <c r="K234" s="386">
        <v>0</v>
      </c>
      <c r="L234" s="387" t="s">
        <v>472</v>
      </c>
    </row>
    <row r="235" spans="1:12" hidden="1">
      <c r="A235" s="385" t="s">
        <v>512</v>
      </c>
      <c r="B235" s="385" t="s">
        <v>513</v>
      </c>
      <c r="C235" s="385" t="s">
        <v>395</v>
      </c>
      <c r="D235" s="385" t="s">
        <v>380</v>
      </c>
      <c r="E235" s="385" t="s">
        <v>381</v>
      </c>
      <c r="F235" s="385" t="s">
        <v>386</v>
      </c>
      <c r="G235" s="385" t="s">
        <v>19</v>
      </c>
      <c r="H235" s="386">
        <v>0</v>
      </c>
      <c r="I235" s="386">
        <v>0</v>
      </c>
      <c r="J235" s="386">
        <v>0</v>
      </c>
      <c r="K235" s="386">
        <v>0</v>
      </c>
      <c r="L235" s="387" t="s">
        <v>387</v>
      </c>
    </row>
    <row r="236" spans="1:12" hidden="1">
      <c r="A236" s="385" t="s">
        <v>512</v>
      </c>
      <c r="B236" s="385" t="s">
        <v>513</v>
      </c>
      <c r="C236" s="385" t="s">
        <v>396</v>
      </c>
      <c r="D236" s="385" t="s">
        <v>380</v>
      </c>
      <c r="E236" s="385" t="s">
        <v>381</v>
      </c>
      <c r="F236" s="385" t="s">
        <v>471</v>
      </c>
      <c r="G236" s="385" t="s">
        <v>19</v>
      </c>
      <c r="H236" s="386">
        <v>0</v>
      </c>
      <c r="I236" s="386">
        <v>0</v>
      </c>
      <c r="J236" s="386">
        <v>939.06</v>
      </c>
      <c r="K236" s="386">
        <v>0</v>
      </c>
      <c r="L236" s="387" t="s">
        <v>472</v>
      </c>
    </row>
    <row r="237" spans="1:12" hidden="1">
      <c r="A237" s="385" t="s">
        <v>512</v>
      </c>
      <c r="B237" s="385" t="s">
        <v>513</v>
      </c>
      <c r="C237" s="385" t="s">
        <v>399</v>
      </c>
      <c r="D237" s="385" t="s">
        <v>380</v>
      </c>
      <c r="E237" s="385" t="s">
        <v>381</v>
      </c>
      <c r="F237" s="385" t="s">
        <v>382</v>
      </c>
      <c r="G237" s="385" t="s">
        <v>19</v>
      </c>
      <c r="H237" s="386">
        <v>40000</v>
      </c>
      <c r="I237" s="386">
        <v>0</v>
      </c>
      <c r="J237" s="386">
        <v>0</v>
      </c>
      <c r="K237" s="386">
        <v>0</v>
      </c>
      <c r="L237" s="387" t="s">
        <v>383</v>
      </c>
    </row>
    <row r="238" spans="1:12" hidden="1">
      <c r="A238" s="385" t="s">
        <v>512</v>
      </c>
      <c r="B238" s="385" t="s">
        <v>514</v>
      </c>
      <c r="C238" s="385" t="s">
        <v>399</v>
      </c>
      <c r="D238" s="385" t="s">
        <v>380</v>
      </c>
      <c r="E238" s="385" t="s">
        <v>381</v>
      </c>
      <c r="F238" s="385" t="s">
        <v>382</v>
      </c>
      <c r="G238" s="385" t="s">
        <v>19</v>
      </c>
      <c r="H238" s="386">
        <v>0</v>
      </c>
      <c r="I238" s="386">
        <v>0</v>
      </c>
      <c r="J238" s="386">
        <v>40000</v>
      </c>
      <c r="K238" s="386">
        <v>0</v>
      </c>
      <c r="L238" s="387" t="s">
        <v>383</v>
      </c>
    </row>
    <row r="239" spans="1:12" ht="38.25" hidden="1">
      <c r="A239" s="385" t="s">
        <v>15</v>
      </c>
      <c r="B239" s="385" t="s">
        <v>17</v>
      </c>
      <c r="C239" s="385" t="s">
        <v>510</v>
      </c>
      <c r="D239" s="385" t="s">
        <v>380</v>
      </c>
      <c r="E239" s="385" t="s">
        <v>19</v>
      </c>
      <c r="F239" s="385" t="s">
        <v>441</v>
      </c>
      <c r="G239" s="385" t="s">
        <v>19</v>
      </c>
      <c r="H239" s="386">
        <v>0</v>
      </c>
      <c r="I239" s="386">
        <v>33663.83</v>
      </c>
      <c r="J239" s="386">
        <v>0</v>
      </c>
      <c r="K239" s="386">
        <v>0</v>
      </c>
      <c r="L239" s="387" t="s">
        <v>442</v>
      </c>
    </row>
    <row r="240" spans="1:12" ht="38.25" hidden="1">
      <c r="A240" s="385" t="s">
        <v>15</v>
      </c>
      <c r="B240" s="385" t="s">
        <v>228</v>
      </c>
      <c r="C240" s="385" t="s">
        <v>510</v>
      </c>
      <c r="D240" s="385" t="s">
        <v>380</v>
      </c>
      <c r="E240" s="385" t="s">
        <v>19</v>
      </c>
      <c r="F240" s="385" t="s">
        <v>441</v>
      </c>
      <c r="G240" s="385" t="s">
        <v>19</v>
      </c>
      <c r="H240" s="386">
        <v>0</v>
      </c>
      <c r="I240" s="386">
        <v>56336.17</v>
      </c>
      <c r="J240" s="386">
        <v>0</v>
      </c>
      <c r="K240" s="386">
        <v>40689.1</v>
      </c>
      <c r="L240" s="387" t="s">
        <v>442</v>
      </c>
    </row>
    <row r="241" spans="1:12" hidden="1">
      <c r="A241" s="385" t="s">
        <v>384</v>
      </c>
      <c r="B241" s="385" t="s">
        <v>368</v>
      </c>
      <c r="C241" s="385" t="s">
        <v>516</v>
      </c>
      <c r="D241" s="385" t="s">
        <v>380</v>
      </c>
      <c r="E241" s="385" t="s">
        <v>19</v>
      </c>
      <c r="F241" s="385" t="s">
        <v>517</v>
      </c>
      <c r="G241" s="385" t="s">
        <v>19</v>
      </c>
      <c r="H241" s="386">
        <v>0</v>
      </c>
      <c r="I241" s="386">
        <v>84753</v>
      </c>
      <c r="J241" s="386">
        <v>0</v>
      </c>
      <c r="K241" s="386">
        <v>56502</v>
      </c>
      <c r="L241" s="387" t="s">
        <v>518</v>
      </c>
    </row>
    <row r="242" spans="1:12" hidden="1">
      <c r="A242" s="385" t="s">
        <v>384</v>
      </c>
      <c r="B242" s="385" t="s">
        <v>368</v>
      </c>
      <c r="C242" s="385" t="s">
        <v>516</v>
      </c>
      <c r="D242" s="385" t="s">
        <v>380</v>
      </c>
      <c r="E242" s="385" t="s">
        <v>19</v>
      </c>
      <c r="F242" s="385" t="s">
        <v>519</v>
      </c>
      <c r="G242" s="385" t="s">
        <v>19</v>
      </c>
      <c r="H242" s="386">
        <v>0</v>
      </c>
      <c r="I242" s="386">
        <v>25282</v>
      </c>
      <c r="J242" s="386">
        <v>0</v>
      </c>
      <c r="K242" s="386">
        <v>16854.68</v>
      </c>
      <c r="L242" s="387" t="s">
        <v>520</v>
      </c>
    </row>
    <row r="243" spans="1:12" ht="25.5" hidden="1">
      <c r="A243" s="385" t="s">
        <v>384</v>
      </c>
      <c r="B243" s="385" t="s">
        <v>368</v>
      </c>
      <c r="C243" s="385" t="s">
        <v>521</v>
      </c>
      <c r="D243" s="385" t="s">
        <v>380</v>
      </c>
      <c r="E243" s="385" t="s">
        <v>19</v>
      </c>
      <c r="F243" s="385" t="s">
        <v>392</v>
      </c>
      <c r="G243" s="385" t="s">
        <v>19</v>
      </c>
      <c r="H243" s="386">
        <v>0</v>
      </c>
      <c r="I243" s="386">
        <v>61824</v>
      </c>
      <c r="J243" s="386">
        <v>0</v>
      </c>
      <c r="K243" s="386">
        <v>20715.939999999999</v>
      </c>
      <c r="L243" s="387" t="s">
        <v>393</v>
      </c>
    </row>
    <row r="244" spans="1:12" ht="25.5" hidden="1">
      <c r="A244" s="385" t="s">
        <v>384</v>
      </c>
      <c r="B244" s="385" t="s">
        <v>368</v>
      </c>
      <c r="C244" s="385" t="s">
        <v>522</v>
      </c>
      <c r="D244" s="385" t="s">
        <v>380</v>
      </c>
      <c r="E244" s="385" t="s">
        <v>19</v>
      </c>
      <c r="F244" s="385" t="s">
        <v>392</v>
      </c>
      <c r="G244" s="385" t="s">
        <v>19</v>
      </c>
      <c r="H244" s="386">
        <v>0</v>
      </c>
      <c r="I244" s="386">
        <v>11980</v>
      </c>
      <c r="J244" s="386">
        <v>0</v>
      </c>
      <c r="K244" s="386">
        <v>7986.32</v>
      </c>
      <c r="L244" s="387" t="s">
        <v>393</v>
      </c>
    </row>
    <row r="245" spans="1:12" ht="25.5" hidden="1">
      <c r="A245" s="385" t="s">
        <v>384</v>
      </c>
      <c r="B245" s="385" t="s">
        <v>368</v>
      </c>
      <c r="C245" s="385" t="s">
        <v>523</v>
      </c>
      <c r="D245" s="385" t="s">
        <v>380</v>
      </c>
      <c r="E245" s="385" t="s">
        <v>19</v>
      </c>
      <c r="F245" s="385" t="s">
        <v>392</v>
      </c>
      <c r="G245" s="385" t="s">
        <v>19</v>
      </c>
      <c r="H245" s="386">
        <v>0</v>
      </c>
      <c r="I245" s="386">
        <v>1663447</v>
      </c>
      <c r="J245" s="386">
        <v>0</v>
      </c>
      <c r="K245" s="386">
        <v>1080051.3700000001</v>
      </c>
      <c r="L245" s="387" t="s">
        <v>393</v>
      </c>
    </row>
    <row r="246" spans="1:12" ht="25.5" hidden="1">
      <c r="A246" s="385" t="s">
        <v>384</v>
      </c>
      <c r="B246" s="385" t="s">
        <v>368</v>
      </c>
      <c r="C246" s="385" t="s">
        <v>524</v>
      </c>
      <c r="D246" s="385" t="s">
        <v>380</v>
      </c>
      <c r="E246" s="385" t="s">
        <v>19</v>
      </c>
      <c r="F246" s="385" t="s">
        <v>392</v>
      </c>
      <c r="G246" s="385" t="s">
        <v>19</v>
      </c>
      <c r="H246" s="386">
        <v>0</v>
      </c>
      <c r="I246" s="386">
        <v>135219</v>
      </c>
      <c r="J246" s="386">
        <v>0</v>
      </c>
      <c r="K246" s="386">
        <v>128227.83</v>
      </c>
      <c r="L246" s="387" t="s">
        <v>393</v>
      </c>
    </row>
    <row r="247" spans="1:12" ht="25.5" hidden="1">
      <c r="A247" s="385" t="s">
        <v>384</v>
      </c>
      <c r="B247" s="385" t="s">
        <v>368</v>
      </c>
      <c r="C247" s="385" t="s">
        <v>525</v>
      </c>
      <c r="D247" s="385" t="s">
        <v>380</v>
      </c>
      <c r="E247" s="385" t="s">
        <v>19</v>
      </c>
      <c r="F247" s="385" t="s">
        <v>392</v>
      </c>
      <c r="G247" s="385" t="s">
        <v>19</v>
      </c>
      <c r="H247" s="386">
        <v>0</v>
      </c>
      <c r="I247" s="386">
        <v>276817</v>
      </c>
      <c r="J247" s="386">
        <v>0</v>
      </c>
      <c r="K247" s="386">
        <v>184598.27</v>
      </c>
      <c r="L247" s="387" t="s">
        <v>393</v>
      </c>
    </row>
    <row r="248" spans="1:12" ht="25.5" hidden="1">
      <c r="A248" s="385" t="s">
        <v>384</v>
      </c>
      <c r="B248" s="385" t="s">
        <v>368</v>
      </c>
      <c r="C248" s="385" t="s">
        <v>526</v>
      </c>
      <c r="D248" s="385" t="s">
        <v>380</v>
      </c>
      <c r="E248" s="385" t="s">
        <v>19</v>
      </c>
      <c r="F248" s="385" t="s">
        <v>392</v>
      </c>
      <c r="G248" s="385" t="s">
        <v>19</v>
      </c>
      <c r="H248" s="386">
        <v>0</v>
      </c>
      <c r="I248" s="386">
        <v>40059</v>
      </c>
      <c r="J248" s="386">
        <v>0</v>
      </c>
      <c r="K248" s="386">
        <v>21644.13</v>
      </c>
      <c r="L248" s="387" t="s">
        <v>393</v>
      </c>
    </row>
    <row r="249" spans="1:12" ht="25.5" hidden="1">
      <c r="A249" s="385" t="s">
        <v>384</v>
      </c>
      <c r="B249" s="385" t="s">
        <v>368</v>
      </c>
      <c r="C249" s="385" t="s">
        <v>527</v>
      </c>
      <c r="D249" s="385" t="s">
        <v>380</v>
      </c>
      <c r="E249" s="385" t="s">
        <v>19</v>
      </c>
      <c r="F249" s="385" t="s">
        <v>389</v>
      </c>
      <c r="G249" s="385" t="s">
        <v>19</v>
      </c>
      <c r="H249" s="386">
        <v>0</v>
      </c>
      <c r="I249" s="386">
        <v>5000</v>
      </c>
      <c r="J249" s="386">
        <v>0</v>
      </c>
      <c r="K249" s="386">
        <v>0</v>
      </c>
      <c r="L249" s="387" t="s">
        <v>390</v>
      </c>
    </row>
    <row r="250" spans="1:12" ht="25.5" hidden="1">
      <c r="A250" s="385" t="s">
        <v>384</v>
      </c>
      <c r="B250" s="385" t="s">
        <v>368</v>
      </c>
      <c r="C250" s="385" t="s">
        <v>528</v>
      </c>
      <c r="D250" s="385" t="s">
        <v>380</v>
      </c>
      <c r="E250" s="385" t="s">
        <v>19</v>
      </c>
      <c r="F250" s="385" t="s">
        <v>392</v>
      </c>
      <c r="G250" s="385" t="s">
        <v>19</v>
      </c>
      <c r="H250" s="386">
        <v>0</v>
      </c>
      <c r="I250" s="386">
        <v>12550</v>
      </c>
      <c r="J250" s="386">
        <v>0</v>
      </c>
      <c r="K250" s="386">
        <v>3016.24</v>
      </c>
      <c r="L250" s="387" t="s">
        <v>393</v>
      </c>
    </row>
    <row r="251" spans="1:12" ht="25.5" hidden="1">
      <c r="A251" s="385" t="s">
        <v>384</v>
      </c>
      <c r="B251" s="385" t="s">
        <v>368</v>
      </c>
      <c r="C251" s="385" t="s">
        <v>528</v>
      </c>
      <c r="D251" s="385" t="s">
        <v>380</v>
      </c>
      <c r="E251" s="385" t="s">
        <v>19</v>
      </c>
      <c r="F251" s="385" t="s">
        <v>389</v>
      </c>
      <c r="G251" s="385" t="s">
        <v>19</v>
      </c>
      <c r="H251" s="386">
        <v>0</v>
      </c>
      <c r="I251" s="386">
        <v>637527.5</v>
      </c>
      <c r="J251" s="386">
        <v>0</v>
      </c>
      <c r="K251" s="386">
        <v>274640.94</v>
      </c>
      <c r="L251" s="387" t="s">
        <v>390</v>
      </c>
    </row>
    <row r="252" spans="1:12" ht="25.5" hidden="1">
      <c r="A252" s="385" t="s">
        <v>384</v>
      </c>
      <c r="B252" s="385" t="s">
        <v>368</v>
      </c>
      <c r="C252" s="385" t="s">
        <v>529</v>
      </c>
      <c r="D252" s="385" t="s">
        <v>380</v>
      </c>
      <c r="E252" s="385" t="s">
        <v>19</v>
      </c>
      <c r="F252" s="385" t="s">
        <v>392</v>
      </c>
      <c r="G252" s="385" t="s">
        <v>19</v>
      </c>
      <c r="H252" s="386">
        <v>0</v>
      </c>
      <c r="I252" s="386">
        <v>1000</v>
      </c>
      <c r="J252" s="386">
        <v>0</v>
      </c>
      <c r="K252" s="386">
        <v>430.5</v>
      </c>
      <c r="L252" s="387" t="s">
        <v>393</v>
      </c>
    </row>
    <row r="253" spans="1:12" ht="25.5" hidden="1">
      <c r="A253" s="385" t="s">
        <v>384</v>
      </c>
      <c r="B253" s="385" t="s">
        <v>368</v>
      </c>
      <c r="C253" s="385" t="s">
        <v>530</v>
      </c>
      <c r="D253" s="385" t="s">
        <v>380</v>
      </c>
      <c r="E253" s="385" t="s">
        <v>19</v>
      </c>
      <c r="F253" s="385" t="s">
        <v>392</v>
      </c>
      <c r="G253" s="385" t="s">
        <v>19</v>
      </c>
      <c r="H253" s="386">
        <v>0</v>
      </c>
      <c r="I253" s="386">
        <v>79950</v>
      </c>
      <c r="J253" s="386">
        <v>0</v>
      </c>
      <c r="K253" s="386">
        <v>38856.49</v>
      </c>
      <c r="L253" s="387" t="s">
        <v>393</v>
      </c>
    </row>
    <row r="254" spans="1:12" ht="25.5" hidden="1">
      <c r="A254" s="385" t="s">
        <v>384</v>
      </c>
      <c r="B254" s="385" t="s">
        <v>368</v>
      </c>
      <c r="C254" s="385" t="s">
        <v>416</v>
      </c>
      <c r="D254" s="385" t="s">
        <v>380</v>
      </c>
      <c r="E254" s="385" t="s">
        <v>19</v>
      </c>
      <c r="F254" s="385" t="s">
        <v>392</v>
      </c>
      <c r="G254" s="385" t="s">
        <v>19</v>
      </c>
      <c r="H254" s="386">
        <v>0</v>
      </c>
      <c r="I254" s="386">
        <v>9900</v>
      </c>
      <c r="J254" s="386">
        <v>0</v>
      </c>
      <c r="K254" s="386">
        <v>0</v>
      </c>
      <c r="L254" s="387" t="s">
        <v>393</v>
      </c>
    </row>
    <row r="255" spans="1:12" ht="25.5" hidden="1">
      <c r="A255" s="385" t="s">
        <v>384</v>
      </c>
      <c r="B255" s="385" t="s">
        <v>368</v>
      </c>
      <c r="C255" s="385" t="s">
        <v>416</v>
      </c>
      <c r="D255" s="385" t="s">
        <v>380</v>
      </c>
      <c r="E255" s="385" t="s">
        <v>19</v>
      </c>
      <c r="F255" s="385" t="s">
        <v>389</v>
      </c>
      <c r="G255" s="385" t="s">
        <v>19</v>
      </c>
      <c r="H255" s="386">
        <v>0</v>
      </c>
      <c r="I255" s="386">
        <v>1477860</v>
      </c>
      <c r="J255" s="386">
        <v>0</v>
      </c>
      <c r="K255" s="386">
        <v>704260.72</v>
      </c>
      <c r="L255" s="387" t="s">
        <v>390</v>
      </c>
    </row>
    <row r="256" spans="1:12" ht="25.5" hidden="1">
      <c r="A256" s="385" t="s">
        <v>384</v>
      </c>
      <c r="B256" s="385" t="s">
        <v>368</v>
      </c>
      <c r="C256" s="385" t="s">
        <v>531</v>
      </c>
      <c r="D256" s="385" t="s">
        <v>380</v>
      </c>
      <c r="E256" s="385" t="s">
        <v>19</v>
      </c>
      <c r="F256" s="385" t="s">
        <v>392</v>
      </c>
      <c r="G256" s="385" t="s">
        <v>19</v>
      </c>
      <c r="H256" s="386">
        <v>0</v>
      </c>
      <c r="I256" s="386">
        <v>2765</v>
      </c>
      <c r="J256" s="386">
        <v>0</v>
      </c>
      <c r="K256" s="386">
        <v>1512</v>
      </c>
      <c r="L256" s="387" t="s">
        <v>393</v>
      </c>
    </row>
    <row r="257" spans="1:12" ht="25.5" hidden="1">
      <c r="A257" s="385" t="s">
        <v>384</v>
      </c>
      <c r="B257" s="385" t="s">
        <v>368</v>
      </c>
      <c r="C257" s="385" t="s">
        <v>510</v>
      </c>
      <c r="D257" s="385" t="s">
        <v>380</v>
      </c>
      <c r="E257" s="385" t="s">
        <v>19</v>
      </c>
      <c r="F257" s="385" t="s">
        <v>392</v>
      </c>
      <c r="G257" s="385" t="s">
        <v>19</v>
      </c>
      <c r="H257" s="386">
        <v>0</v>
      </c>
      <c r="I257" s="386">
        <v>28661.919999999998</v>
      </c>
      <c r="J257" s="386">
        <v>0</v>
      </c>
      <c r="K257" s="386">
        <v>17046.099999999999</v>
      </c>
      <c r="L257" s="387" t="s">
        <v>393</v>
      </c>
    </row>
    <row r="258" spans="1:12" ht="25.5" hidden="1">
      <c r="A258" s="385" t="s">
        <v>384</v>
      </c>
      <c r="B258" s="385" t="s">
        <v>368</v>
      </c>
      <c r="C258" s="385" t="s">
        <v>510</v>
      </c>
      <c r="D258" s="385" t="s">
        <v>380</v>
      </c>
      <c r="E258" s="385" t="s">
        <v>19</v>
      </c>
      <c r="F258" s="385" t="s">
        <v>389</v>
      </c>
      <c r="G258" s="385" t="s">
        <v>19</v>
      </c>
      <c r="H258" s="386">
        <v>0</v>
      </c>
      <c r="I258" s="386">
        <v>1650229.06</v>
      </c>
      <c r="J258" s="386">
        <v>0</v>
      </c>
      <c r="K258" s="386">
        <v>1397849.16</v>
      </c>
      <c r="L258" s="387" t="s">
        <v>390</v>
      </c>
    </row>
    <row r="259" spans="1:12" ht="25.5" hidden="1">
      <c r="A259" s="385" t="s">
        <v>384</v>
      </c>
      <c r="B259" s="385" t="s">
        <v>368</v>
      </c>
      <c r="C259" s="385" t="s">
        <v>532</v>
      </c>
      <c r="D259" s="385" t="s">
        <v>380</v>
      </c>
      <c r="E259" s="385" t="s">
        <v>19</v>
      </c>
      <c r="F259" s="385" t="s">
        <v>392</v>
      </c>
      <c r="G259" s="385" t="s">
        <v>19</v>
      </c>
      <c r="H259" s="386">
        <v>0</v>
      </c>
      <c r="I259" s="386">
        <v>8700</v>
      </c>
      <c r="J259" s="386">
        <v>0</v>
      </c>
      <c r="K259" s="386">
        <v>4656.3</v>
      </c>
      <c r="L259" s="387" t="s">
        <v>393</v>
      </c>
    </row>
    <row r="260" spans="1:12" ht="25.5" hidden="1">
      <c r="A260" s="385" t="s">
        <v>384</v>
      </c>
      <c r="B260" s="385" t="s">
        <v>368</v>
      </c>
      <c r="C260" s="385" t="s">
        <v>559</v>
      </c>
      <c r="D260" s="385" t="s">
        <v>380</v>
      </c>
      <c r="E260" s="385" t="s">
        <v>19</v>
      </c>
      <c r="F260" s="385" t="s">
        <v>389</v>
      </c>
      <c r="G260" s="385" t="s">
        <v>19</v>
      </c>
      <c r="H260" s="386">
        <v>0</v>
      </c>
      <c r="I260" s="386">
        <v>14760</v>
      </c>
      <c r="J260" s="386">
        <v>0</v>
      </c>
      <c r="K260" s="386">
        <v>0</v>
      </c>
      <c r="L260" s="387" t="s">
        <v>390</v>
      </c>
    </row>
    <row r="261" spans="1:12" ht="25.5" hidden="1">
      <c r="A261" s="385" t="s">
        <v>384</v>
      </c>
      <c r="B261" s="385" t="s">
        <v>368</v>
      </c>
      <c r="C261" s="385" t="s">
        <v>533</v>
      </c>
      <c r="D261" s="385" t="s">
        <v>380</v>
      </c>
      <c r="E261" s="385" t="s">
        <v>19</v>
      </c>
      <c r="F261" s="385" t="s">
        <v>392</v>
      </c>
      <c r="G261" s="385" t="s">
        <v>19</v>
      </c>
      <c r="H261" s="386">
        <v>0</v>
      </c>
      <c r="I261" s="386">
        <v>6000</v>
      </c>
      <c r="J261" s="386">
        <v>0</v>
      </c>
      <c r="K261" s="386">
        <v>2738.59</v>
      </c>
      <c r="L261" s="387" t="s">
        <v>393</v>
      </c>
    </row>
    <row r="262" spans="1:12" ht="25.5" hidden="1">
      <c r="A262" s="385" t="s">
        <v>384</v>
      </c>
      <c r="B262" s="385" t="s">
        <v>368</v>
      </c>
      <c r="C262" s="385" t="s">
        <v>534</v>
      </c>
      <c r="D262" s="385" t="s">
        <v>380</v>
      </c>
      <c r="E262" s="385" t="s">
        <v>19</v>
      </c>
      <c r="F262" s="385" t="s">
        <v>392</v>
      </c>
      <c r="G262" s="385" t="s">
        <v>19</v>
      </c>
      <c r="H262" s="386">
        <v>0</v>
      </c>
      <c r="I262" s="386">
        <v>300</v>
      </c>
      <c r="J262" s="386">
        <v>0</v>
      </c>
      <c r="K262" s="386">
        <v>0</v>
      </c>
      <c r="L262" s="387" t="s">
        <v>393</v>
      </c>
    </row>
    <row r="263" spans="1:12" ht="25.5" hidden="1">
      <c r="A263" s="385" t="s">
        <v>384</v>
      </c>
      <c r="B263" s="385" t="s">
        <v>368</v>
      </c>
      <c r="C263" s="385" t="s">
        <v>534</v>
      </c>
      <c r="D263" s="385" t="s">
        <v>380</v>
      </c>
      <c r="E263" s="385" t="s">
        <v>19</v>
      </c>
      <c r="F263" s="385" t="s">
        <v>389</v>
      </c>
      <c r="G263" s="385" t="s">
        <v>19</v>
      </c>
      <c r="H263" s="386">
        <v>0</v>
      </c>
      <c r="I263" s="386">
        <v>1000</v>
      </c>
      <c r="J263" s="386">
        <v>0</v>
      </c>
      <c r="K263" s="386">
        <v>0</v>
      </c>
      <c r="L263" s="387" t="s">
        <v>390</v>
      </c>
    </row>
    <row r="264" spans="1:12" ht="25.5" hidden="1">
      <c r="A264" s="385" t="s">
        <v>384</v>
      </c>
      <c r="B264" s="385" t="s">
        <v>368</v>
      </c>
      <c r="C264" s="385" t="s">
        <v>535</v>
      </c>
      <c r="D264" s="385" t="s">
        <v>380</v>
      </c>
      <c r="E264" s="385" t="s">
        <v>19</v>
      </c>
      <c r="F264" s="385" t="s">
        <v>392</v>
      </c>
      <c r="G264" s="385" t="s">
        <v>19</v>
      </c>
      <c r="H264" s="386">
        <v>0</v>
      </c>
      <c r="I264" s="386">
        <v>59460.9</v>
      </c>
      <c r="J264" s="386">
        <v>0</v>
      </c>
      <c r="K264" s="386">
        <v>44595.68</v>
      </c>
      <c r="L264" s="387" t="s">
        <v>393</v>
      </c>
    </row>
    <row r="265" spans="1:12" hidden="1">
      <c r="A265" s="385" t="s">
        <v>384</v>
      </c>
      <c r="B265" s="385" t="s">
        <v>368</v>
      </c>
      <c r="C265" s="385" t="s">
        <v>536</v>
      </c>
      <c r="D265" s="385" t="s">
        <v>380</v>
      </c>
      <c r="E265" s="385" t="s">
        <v>19</v>
      </c>
      <c r="F265" s="385" t="s">
        <v>386</v>
      </c>
      <c r="G265" s="385" t="s">
        <v>19</v>
      </c>
      <c r="H265" s="386">
        <v>0</v>
      </c>
      <c r="I265" s="386">
        <v>10</v>
      </c>
      <c r="J265" s="386">
        <v>0</v>
      </c>
      <c r="K265" s="386">
        <v>7</v>
      </c>
      <c r="L265" s="387" t="s">
        <v>387</v>
      </c>
    </row>
    <row r="266" spans="1:12" hidden="1">
      <c r="A266" s="385" t="s">
        <v>384</v>
      </c>
      <c r="B266" s="385" t="s">
        <v>368</v>
      </c>
      <c r="C266" s="385" t="s">
        <v>536</v>
      </c>
      <c r="D266" s="385" t="s">
        <v>380</v>
      </c>
      <c r="E266" s="385" t="s">
        <v>19</v>
      </c>
      <c r="F266" s="385" t="s">
        <v>673</v>
      </c>
      <c r="G266" s="385" t="s">
        <v>19</v>
      </c>
      <c r="H266" s="386">
        <v>0</v>
      </c>
      <c r="I266" s="386">
        <v>0</v>
      </c>
      <c r="J266" s="386">
        <v>0</v>
      </c>
      <c r="K266" s="386">
        <v>0</v>
      </c>
      <c r="L266" s="387" t="s">
        <v>674</v>
      </c>
    </row>
    <row r="267" spans="1:12" ht="25.5" hidden="1">
      <c r="A267" s="385" t="s">
        <v>384</v>
      </c>
      <c r="B267" s="385" t="s">
        <v>368</v>
      </c>
      <c r="C267" s="385" t="s">
        <v>537</v>
      </c>
      <c r="D267" s="385" t="s">
        <v>380</v>
      </c>
      <c r="E267" s="385" t="s">
        <v>19</v>
      </c>
      <c r="F267" s="385" t="s">
        <v>389</v>
      </c>
      <c r="G267" s="385" t="s">
        <v>19</v>
      </c>
      <c r="H267" s="386">
        <v>0</v>
      </c>
      <c r="I267" s="386">
        <v>10000</v>
      </c>
      <c r="J267" s="386">
        <v>0</v>
      </c>
      <c r="K267" s="386">
        <v>9024.34</v>
      </c>
      <c r="L267" s="387" t="s">
        <v>390</v>
      </c>
    </row>
    <row r="268" spans="1:12" hidden="1">
      <c r="A268" s="385" t="s">
        <v>384</v>
      </c>
      <c r="B268" s="385" t="s">
        <v>368</v>
      </c>
      <c r="C268" s="385" t="s">
        <v>538</v>
      </c>
      <c r="D268" s="385" t="s">
        <v>380</v>
      </c>
      <c r="E268" s="385" t="s">
        <v>19</v>
      </c>
      <c r="F268" s="385" t="s">
        <v>386</v>
      </c>
      <c r="G268" s="385" t="s">
        <v>19</v>
      </c>
      <c r="H268" s="386">
        <v>0</v>
      </c>
      <c r="I268" s="386">
        <v>10000</v>
      </c>
      <c r="J268" s="386">
        <v>0</v>
      </c>
      <c r="K268" s="386">
        <v>0</v>
      </c>
      <c r="L268" s="387" t="s">
        <v>387</v>
      </c>
    </row>
    <row r="269" spans="1:12" ht="25.5" hidden="1">
      <c r="A269" s="385" t="s">
        <v>384</v>
      </c>
      <c r="B269" s="385" t="s">
        <v>368</v>
      </c>
      <c r="C269" s="385" t="s">
        <v>540</v>
      </c>
      <c r="D269" s="385" t="s">
        <v>380</v>
      </c>
      <c r="E269" s="385" t="s">
        <v>19</v>
      </c>
      <c r="F269" s="385" t="s">
        <v>392</v>
      </c>
      <c r="G269" s="385" t="s">
        <v>19</v>
      </c>
      <c r="H269" s="386">
        <v>0</v>
      </c>
      <c r="I269" s="386">
        <v>3880</v>
      </c>
      <c r="J269" s="386">
        <v>0</v>
      </c>
      <c r="K269" s="386">
        <v>961.2</v>
      </c>
      <c r="L269" s="387" t="s">
        <v>393</v>
      </c>
    </row>
    <row r="270" spans="1:12" ht="25.5" hidden="1">
      <c r="A270" s="385" t="s">
        <v>384</v>
      </c>
      <c r="B270" s="385" t="s">
        <v>368</v>
      </c>
      <c r="C270" s="385" t="s">
        <v>541</v>
      </c>
      <c r="D270" s="385" t="s">
        <v>380</v>
      </c>
      <c r="E270" s="385" t="s">
        <v>19</v>
      </c>
      <c r="F270" s="385" t="s">
        <v>657</v>
      </c>
      <c r="G270" s="385" t="s">
        <v>19</v>
      </c>
      <c r="H270" s="386">
        <v>0</v>
      </c>
      <c r="I270" s="386">
        <v>0</v>
      </c>
      <c r="J270" s="386">
        <v>0</v>
      </c>
      <c r="K270" s="386">
        <v>0</v>
      </c>
      <c r="L270" s="387" t="s">
        <v>658</v>
      </c>
    </row>
    <row r="271" spans="1:12" ht="38.25" hidden="1">
      <c r="A271" s="385" t="s">
        <v>384</v>
      </c>
      <c r="B271" s="385" t="s">
        <v>368</v>
      </c>
      <c r="C271" s="385" t="s">
        <v>541</v>
      </c>
      <c r="D271" s="385" t="s">
        <v>380</v>
      </c>
      <c r="E271" s="385" t="s">
        <v>19</v>
      </c>
      <c r="F271" s="385" t="s">
        <v>697</v>
      </c>
      <c r="G271" s="385" t="s">
        <v>19</v>
      </c>
      <c r="H271" s="386">
        <v>0</v>
      </c>
      <c r="I271" s="386">
        <v>6521260.3099999996</v>
      </c>
      <c r="J271" s="386">
        <v>0</v>
      </c>
      <c r="K271" s="386">
        <v>0</v>
      </c>
      <c r="L271" s="387" t="s">
        <v>739</v>
      </c>
    </row>
    <row r="272" spans="1:12" ht="25.5" hidden="1">
      <c r="A272" s="385" t="s">
        <v>384</v>
      </c>
      <c r="B272" s="385" t="s">
        <v>368</v>
      </c>
      <c r="C272" s="385" t="s">
        <v>541</v>
      </c>
      <c r="D272" s="385" t="s">
        <v>380</v>
      </c>
      <c r="E272" s="385" t="s">
        <v>19</v>
      </c>
      <c r="F272" s="385" t="s">
        <v>389</v>
      </c>
      <c r="G272" s="385" t="s">
        <v>19</v>
      </c>
      <c r="H272" s="386">
        <v>0</v>
      </c>
      <c r="I272" s="386">
        <v>1187776.6100000001</v>
      </c>
      <c r="J272" s="386">
        <v>0</v>
      </c>
      <c r="K272" s="386">
        <v>220785</v>
      </c>
      <c r="L272" s="387" t="s">
        <v>390</v>
      </c>
    </row>
    <row r="273" spans="1:12" ht="25.5" hidden="1">
      <c r="A273" s="385" t="s">
        <v>384</v>
      </c>
      <c r="B273" s="385" t="s">
        <v>368</v>
      </c>
      <c r="C273" s="385" t="s">
        <v>541</v>
      </c>
      <c r="D273" s="385" t="s">
        <v>380</v>
      </c>
      <c r="E273" s="385" t="s">
        <v>19</v>
      </c>
      <c r="F273" s="385" t="s">
        <v>403</v>
      </c>
      <c r="G273" s="385" t="s">
        <v>19</v>
      </c>
      <c r="H273" s="386">
        <v>0</v>
      </c>
      <c r="I273" s="386">
        <v>0</v>
      </c>
      <c r="J273" s="386">
        <v>0</v>
      </c>
      <c r="K273" s="386">
        <v>0</v>
      </c>
      <c r="L273" s="387" t="s">
        <v>404</v>
      </c>
    </row>
    <row r="274" spans="1:12" ht="25.5" hidden="1">
      <c r="A274" s="385" t="s">
        <v>384</v>
      </c>
      <c r="B274" s="385" t="s">
        <v>368</v>
      </c>
      <c r="C274" s="385" t="s">
        <v>541</v>
      </c>
      <c r="D274" s="385" t="s">
        <v>380</v>
      </c>
      <c r="E274" s="385" t="s">
        <v>19</v>
      </c>
      <c r="F274" s="385" t="s">
        <v>401</v>
      </c>
      <c r="G274" s="385" t="s">
        <v>19</v>
      </c>
      <c r="H274" s="386">
        <v>0</v>
      </c>
      <c r="I274" s="386">
        <v>0</v>
      </c>
      <c r="J274" s="386">
        <v>0</v>
      </c>
      <c r="K274" s="386">
        <v>0</v>
      </c>
      <c r="L274" s="387" t="s">
        <v>402</v>
      </c>
    </row>
    <row r="275" spans="1:12" ht="25.5" hidden="1">
      <c r="A275" s="385" t="s">
        <v>384</v>
      </c>
      <c r="B275" s="385" t="s">
        <v>368</v>
      </c>
      <c r="C275" s="385" t="s">
        <v>541</v>
      </c>
      <c r="D275" s="385" t="s">
        <v>380</v>
      </c>
      <c r="E275" s="385" t="s">
        <v>19</v>
      </c>
      <c r="F275" s="385" t="s">
        <v>653</v>
      </c>
      <c r="G275" s="385" t="s">
        <v>19</v>
      </c>
      <c r="H275" s="386">
        <v>0</v>
      </c>
      <c r="I275" s="386">
        <v>0</v>
      </c>
      <c r="J275" s="386">
        <v>0</v>
      </c>
      <c r="K275" s="386">
        <v>0</v>
      </c>
      <c r="L275" s="387" t="s">
        <v>654</v>
      </c>
    </row>
    <row r="276" spans="1:12" ht="25.5" hidden="1">
      <c r="A276" s="385" t="s">
        <v>384</v>
      </c>
      <c r="B276" s="385" t="s">
        <v>368</v>
      </c>
      <c r="C276" s="385" t="s">
        <v>542</v>
      </c>
      <c r="D276" s="385" t="s">
        <v>380</v>
      </c>
      <c r="E276" s="385" t="s">
        <v>19</v>
      </c>
      <c r="F276" s="385" t="s">
        <v>389</v>
      </c>
      <c r="G276" s="385" t="s">
        <v>19</v>
      </c>
      <c r="H276" s="386">
        <v>0</v>
      </c>
      <c r="I276" s="386">
        <v>410728</v>
      </c>
      <c r="J276" s="386">
        <v>0</v>
      </c>
      <c r="K276" s="386">
        <v>0</v>
      </c>
      <c r="L276" s="387" t="s">
        <v>390</v>
      </c>
    </row>
    <row r="277" spans="1:12" ht="25.5" hidden="1">
      <c r="A277" s="385" t="s">
        <v>384</v>
      </c>
      <c r="B277" s="385" t="s">
        <v>368</v>
      </c>
      <c r="C277" s="385" t="s">
        <v>400</v>
      </c>
      <c r="D277" s="385" t="s">
        <v>380</v>
      </c>
      <c r="E277" s="385" t="s">
        <v>19</v>
      </c>
      <c r="F277" s="385" t="s">
        <v>403</v>
      </c>
      <c r="G277" s="385" t="s">
        <v>19</v>
      </c>
      <c r="H277" s="386">
        <v>0</v>
      </c>
      <c r="I277" s="386">
        <v>0</v>
      </c>
      <c r="J277" s="386">
        <v>0</v>
      </c>
      <c r="K277" s="386">
        <v>0</v>
      </c>
      <c r="L277" s="387" t="s">
        <v>404</v>
      </c>
    </row>
    <row r="278" spans="1:12" ht="25.5" hidden="1">
      <c r="A278" s="385" t="s">
        <v>384</v>
      </c>
      <c r="B278" s="385" t="s">
        <v>368</v>
      </c>
      <c r="C278" s="385" t="s">
        <v>400</v>
      </c>
      <c r="D278" s="385" t="s">
        <v>380</v>
      </c>
      <c r="E278" s="385" t="s">
        <v>19</v>
      </c>
      <c r="F278" s="385" t="s">
        <v>653</v>
      </c>
      <c r="G278" s="385" t="s">
        <v>19</v>
      </c>
      <c r="H278" s="386">
        <v>0</v>
      </c>
      <c r="I278" s="386">
        <v>0</v>
      </c>
      <c r="J278" s="386">
        <v>0</v>
      </c>
      <c r="K278" s="386">
        <v>0</v>
      </c>
      <c r="L278" s="387" t="s">
        <v>654</v>
      </c>
    </row>
    <row r="279" spans="1:12" hidden="1">
      <c r="A279" s="385" t="s">
        <v>384</v>
      </c>
      <c r="B279" s="385" t="s">
        <v>368</v>
      </c>
      <c r="C279" s="385" t="s">
        <v>405</v>
      </c>
      <c r="D279" s="385" t="s">
        <v>380</v>
      </c>
      <c r="E279" s="385" t="s">
        <v>19</v>
      </c>
      <c r="F279" s="385" t="s">
        <v>543</v>
      </c>
      <c r="G279" s="385" t="s">
        <v>19</v>
      </c>
      <c r="H279" s="386">
        <v>0</v>
      </c>
      <c r="I279" s="386">
        <v>0</v>
      </c>
      <c r="J279" s="386">
        <v>0</v>
      </c>
      <c r="K279" s="386">
        <v>0</v>
      </c>
      <c r="L279" s="387" t="s">
        <v>544</v>
      </c>
    </row>
    <row r="280" spans="1:12" ht="51" hidden="1">
      <c r="A280" s="385" t="s">
        <v>384</v>
      </c>
      <c r="B280" s="385" t="s">
        <v>368</v>
      </c>
      <c r="C280" s="385" t="s">
        <v>405</v>
      </c>
      <c r="D280" s="385" t="s">
        <v>380</v>
      </c>
      <c r="E280" s="385" t="s">
        <v>19</v>
      </c>
      <c r="F280" s="385" t="s">
        <v>675</v>
      </c>
      <c r="G280" s="385" t="s">
        <v>19</v>
      </c>
      <c r="H280" s="386">
        <v>0</v>
      </c>
      <c r="I280" s="386">
        <v>1347284.44</v>
      </c>
      <c r="J280" s="386">
        <v>0</v>
      </c>
      <c r="K280" s="386">
        <v>1317284.44</v>
      </c>
      <c r="L280" s="387" t="s">
        <v>676</v>
      </c>
    </row>
    <row r="281" spans="1:12" ht="51" hidden="1">
      <c r="A281" s="385" t="s">
        <v>384</v>
      </c>
      <c r="B281" s="385" t="s">
        <v>368</v>
      </c>
      <c r="C281" s="385" t="s">
        <v>405</v>
      </c>
      <c r="D281" s="385" t="s">
        <v>380</v>
      </c>
      <c r="E281" s="385" t="s">
        <v>19</v>
      </c>
      <c r="F281" s="385" t="s">
        <v>677</v>
      </c>
      <c r="G281" s="385" t="s">
        <v>19</v>
      </c>
      <c r="H281" s="386">
        <v>0</v>
      </c>
      <c r="I281" s="386">
        <v>1073000</v>
      </c>
      <c r="J281" s="386">
        <v>0</v>
      </c>
      <c r="K281" s="386">
        <v>0</v>
      </c>
      <c r="L281" s="387" t="s">
        <v>678</v>
      </c>
    </row>
    <row r="282" spans="1:12" ht="25.5" hidden="1">
      <c r="A282" s="385" t="s">
        <v>384</v>
      </c>
      <c r="B282" s="385" t="s">
        <v>679</v>
      </c>
      <c r="C282" s="385" t="s">
        <v>416</v>
      </c>
      <c r="D282" s="385" t="s">
        <v>380</v>
      </c>
      <c r="E282" s="385" t="s">
        <v>19</v>
      </c>
      <c r="F282" s="385" t="s">
        <v>389</v>
      </c>
      <c r="G282" s="385" t="s">
        <v>19</v>
      </c>
      <c r="H282" s="386">
        <v>0</v>
      </c>
      <c r="I282" s="386">
        <v>22140</v>
      </c>
      <c r="J282" s="386">
        <v>0</v>
      </c>
      <c r="K282" s="386">
        <v>22140</v>
      </c>
      <c r="L282" s="387" t="s">
        <v>390</v>
      </c>
    </row>
    <row r="283" spans="1:12" ht="25.5" hidden="1">
      <c r="A283" s="385" t="s">
        <v>384</v>
      </c>
      <c r="B283" s="385" t="s">
        <v>238</v>
      </c>
      <c r="C283" s="385" t="s">
        <v>528</v>
      </c>
      <c r="D283" s="385" t="s">
        <v>380</v>
      </c>
      <c r="E283" s="385" t="s">
        <v>19</v>
      </c>
      <c r="F283" s="385" t="s">
        <v>389</v>
      </c>
      <c r="G283" s="385" t="s">
        <v>19</v>
      </c>
      <c r="H283" s="386">
        <v>0</v>
      </c>
      <c r="I283" s="386">
        <v>4000</v>
      </c>
      <c r="J283" s="386">
        <v>0</v>
      </c>
      <c r="K283" s="386">
        <v>3999</v>
      </c>
      <c r="L283" s="387" t="s">
        <v>390</v>
      </c>
    </row>
    <row r="284" spans="1:12" ht="25.5" hidden="1">
      <c r="A284" s="385" t="s">
        <v>407</v>
      </c>
      <c r="B284" s="385" t="s">
        <v>408</v>
      </c>
      <c r="C284" s="385" t="s">
        <v>521</v>
      </c>
      <c r="D284" s="385" t="s">
        <v>380</v>
      </c>
      <c r="E284" s="385" t="s">
        <v>19</v>
      </c>
      <c r="F284" s="385" t="s">
        <v>392</v>
      </c>
      <c r="G284" s="385" t="s">
        <v>19</v>
      </c>
      <c r="H284" s="386">
        <v>0</v>
      </c>
      <c r="I284" s="386">
        <v>1500</v>
      </c>
      <c r="J284" s="386">
        <v>0</v>
      </c>
      <c r="K284" s="386">
        <v>500</v>
      </c>
      <c r="L284" s="387" t="s">
        <v>393</v>
      </c>
    </row>
    <row r="285" spans="1:12" ht="25.5" hidden="1">
      <c r="A285" s="385" t="s">
        <v>407</v>
      </c>
      <c r="B285" s="385" t="s">
        <v>408</v>
      </c>
      <c r="C285" s="385" t="s">
        <v>523</v>
      </c>
      <c r="D285" s="385" t="s">
        <v>380</v>
      </c>
      <c r="E285" s="385" t="s">
        <v>19</v>
      </c>
      <c r="F285" s="385" t="s">
        <v>392</v>
      </c>
      <c r="G285" s="385" t="s">
        <v>19</v>
      </c>
      <c r="H285" s="386">
        <v>0</v>
      </c>
      <c r="I285" s="386">
        <v>544871</v>
      </c>
      <c r="J285" s="386">
        <v>0</v>
      </c>
      <c r="K285" s="386">
        <v>286447.82</v>
      </c>
      <c r="L285" s="387" t="s">
        <v>393</v>
      </c>
    </row>
    <row r="286" spans="1:12" ht="25.5" hidden="1">
      <c r="A286" s="385" t="s">
        <v>407</v>
      </c>
      <c r="B286" s="385" t="s">
        <v>408</v>
      </c>
      <c r="C286" s="385" t="s">
        <v>523</v>
      </c>
      <c r="D286" s="385" t="s">
        <v>380</v>
      </c>
      <c r="E286" s="385" t="s">
        <v>19</v>
      </c>
      <c r="F286" s="385" t="s">
        <v>392</v>
      </c>
      <c r="G286" s="385" t="s">
        <v>12</v>
      </c>
      <c r="H286" s="386">
        <v>0</v>
      </c>
      <c r="I286" s="386">
        <v>162678</v>
      </c>
      <c r="J286" s="386">
        <v>0</v>
      </c>
      <c r="K286" s="386">
        <v>162678</v>
      </c>
      <c r="L286" s="387" t="s">
        <v>393</v>
      </c>
    </row>
    <row r="287" spans="1:12" ht="25.5" hidden="1">
      <c r="A287" s="385" t="s">
        <v>407</v>
      </c>
      <c r="B287" s="385" t="s">
        <v>408</v>
      </c>
      <c r="C287" s="385" t="s">
        <v>524</v>
      </c>
      <c r="D287" s="385" t="s">
        <v>380</v>
      </c>
      <c r="E287" s="385" t="s">
        <v>19</v>
      </c>
      <c r="F287" s="385" t="s">
        <v>392</v>
      </c>
      <c r="G287" s="385" t="s">
        <v>19</v>
      </c>
      <c r="H287" s="386">
        <v>0</v>
      </c>
      <c r="I287" s="386">
        <v>56285</v>
      </c>
      <c r="J287" s="386">
        <v>0</v>
      </c>
      <c r="K287" s="386">
        <v>48886.41</v>
      </c>
      <c r="L287" s="387" t="s">
        <v>393</v>
      </c>
    </row>
    <row r="288" spans="1:12" ht="25.5" hidden="1">
      <c r="A288" s="385" t="s">
        <v>407</v>
      </c>
      <c r="B288" s="385" t="s">
        <v>408</v>
      </c>
      <c r="C288" s="385" t="s">
        <v>525</v>
      </c>
      <c r="D288" s="385" t="s">
        <v>380</v>
      </c>
      <c r="E288" s="385" t="s">
        <v>19</v>
      </c>
      <c r="F288" s="385" t="s">
        <v>392</v>
      </c>
      <c r="G288" s="385" t="s">
        <v>19</v>
      </c>
      <c r="H288" s="386">
        <v>0</v>
      </c>
      <c r="I288" s="386">
        <v>102870</v>
      </c>
      <c r="J288" s="386">
        <v>0</v>
      </c>
      <c r="K288" s="386">
        <v>69053.11</v>
      </c>
      <c r="L288" s="387" t="s">
        <v>393</v>
      </c>
    </row>
    <row r="289" spans="1:12" ht="25.5" hidden="1">
      <c r="A289" s="385" t="s">
        <v>407</v>
      </c>
      <c r="B289" s="385" t="s">
        <v>408</v>
      </c>
      <c r="C289" s="385" t="s">
        <v>526</v>
      </c>
      <c r="D289" s="385" t="s">
        <v>380</v>
      </c>
      <c r="E289" s="385" t="s">
        <v>19</v>
      </c>
      <c r="F289" s="385" t="s">
        <v>392</v>
      </c>
      <c r="G289" s="385" t="s">
        <v>19</v>
      </c>
      <c r="H289" s="386">
        <v>0</v>
      </c>
      <c r="I289" s="386">
        <v>14399</v>
      </c>
      <c r="J289" s="386">
        <v>0</v>
      </c>
      <c r="K289" s="386">
        <v>8803.2900000000009</v>
      </c>
      <c r="L289" s="387" t="s">
        <v>393</v>
      </c>
    </row>
    <row r="290" spans="1:12" ht="25.5" hidden="1">
      <c r="A290" s="385" t="s">
        <v>407</v>
      </c>
      <c r="B290" s="385" t="s">
        <v>408</v>
      </c>
      <c r="C290" s="385" t="s">
        <v>527</v>
      </c>
      <c r="D290" s="385" t="s">
        <v>380</v>
      </c>
      <c r="E290" s="385" t="s">
        <v>19</v>
      </c>
      <c r="F290" s="385" t="s">
        <v>410</v>
      </c>
      <c r="G290" s="385" t="s">
        <v>19</v>
      </c>
      <c r="H290" s="386">
        <v>0</v>
      </c>
      <c r="I290" s="386">
        <v>300</v>
      </c>
      <c r="J290" s="386">
        <v>0</v>
      </c>
      <c r="K290" s="386">
        <v>244</v>
      </c>
      <c r="L290" s="387" t="s">
        <v>411</v>
      </c>
    </row>
    <row r="291" spans="1:12" ht="25.5" hidden="1">
      <c r="A291" s="385" t="s">
        <v>407</v>
      </c>
      <c r="B291" s="385" t="s">
        <v>408</v>
      </c>
      <c r="C291" s="385" t="s">
        <v>530</v>
      </c>
      <c r="D291" s="385" t="s">
        <v>380</v>
      </c>
      <c r="E291" s="385" t="s">
        <v>19</v>
      </c>
      <c r="F291" s="385" t="s">
        <v>410</v>
      </c>
      <c r="G291" s="385" t="s">
        <v>19</v>
      </c>
      <c r="H291" s="386">
        <v>0</v>
      </c>
      <c r="I291" s="386">
        <v>12000</v>
      </c>
      <c r="J291" s="386">
        <v>0</v>
      </c>
      <c r="K291" s="386">
        <v>3951.22</v>
      </c>
      <c r="L291" s="387" t="s">
        <v>411</v>
      </c>
    </row>
    <row r="292" spans="1:12" ht="25.5" hidden="1">
      <c r="A292" s="385" t="s">
        <v>407</v>
      </c>
      <c r="B292" s="385" t="s">
        <v>408</v>
      </c>
      <c r="C292" s="385" t="s">
        <v>416</v>
      </c>
      <c r="D292" s="385" t="s">
        <v>380</v>
      </c>
      <c r="E292" s="385" t="s">
        <v>19</v>
      </c>
      <c r="F292" s="385" t="s">
        <v>410</v>
      </c>
      <c r="G292" s="385" t="s">
        <v>12</v>
      </c>
      <c r="H292" s="386">
        <v>0</v>
      </c>
      <c r="I292" s="386">
        <v>10701</v>
      </c>
      <c r="J292" s="386">
        <v>0</v>
      </c>
      <c r="K292" s="386">
        <v>0</v>
      </c>
      <c r="L292" s="387" t="s">
        <v>411</v>
      </c>
    </row>
    <row r="293" spans="1:12" ht="25.5" hidden="1">
      <c r="A293" s="385" t="s">
        <v>407</v>
      </c>
      <c r="B293" s="385" t="s">
        <v>408</v>
      </c>
      <c r="C293" s="385" t="s">
        <v>416</v>
      </c>
      <c r="D293" s="385" t="s">
        <v>380</v>
      </c>
      <c r="E293" s="385" t="s">
        <v>19</v>
      </c>
      <c r="F293" s="385" t="s">
        <v>410</v>
      </c>
      <c r="G293" s="385" t="s">
        <v>19</v>
      </c>
      <c r="H293" s="386">
        <v>0</v>
      </c>
      <c r="I293" s="386">
        <v>0</v>
      </c>
      <c r="J293" s="386">
        <v>0</v>
      </c>
      <c r="K293" s="386">
        <v>0</v>
      </c>
      <c r="L293" s="387" t="s">
        <v>411</v>
      </c>
    </row>
    <row r="294" spans="1:12" ht="25.5" hidden="1">
      <c r="A294" s="385" t="s">
        <v>407</v>
      </c>
      <c r="B294" s="385" t="s">
        <v>408</v>
      </c>
      <c r="C294" s="385" t="s">
        <v>416</v>
      </c>
      <c r="D294" s="385" t="s">
        <v>380</v>
      </c>
      <c r="E294" s="385" t="s">
        <v>19</v>
      </c>
      <c r="F294" s="385" t="s">
        <v>389</v>
      </c>
      <c r="G294" s="385" t="s">
        <v>19</v>
      </c>
      <c r="H294" s="386">
        <v>0</v>
      </c>
      <c r="I294" s="386">
        <v>69050</v>
      </c>
      <c r="J294" s="386">
        <v>0</v>
      </c>
      <c r="K294" s="386">
        <v>68017.77</v>
      </c>
      <c r="L294" s="387" t="s">
        <v>390</v>
      </c>
    </row>
    <row r="295" spans="1:12" ht="25.5" hidden="1">
      <c r="A295" s="385" t="s">
        <v>407</v>
      </c>
      <c r="B295" s="385" t="s">
        <v>408</v>
      </c>
      <c r="C295" s="385" t="s">
        <v>531</v>
      </c>
      <c r="D295" s="385" t="s">
        <v>380</v>
      </c>
      <c r="E295" s="385" t="s">
        <v>19</v>
      </c>
      <c r="F295" s="385" t="s">
        <v>392</v>
      </c>
      <c r="G295" s="385" t="s">
        <v>19</v>
      </c>
      <c r="H295" s="386">
        <v>0</v>
      </c>
      <c r="I295" s="386">
        <v>525</v>
      </c>
      <c r="J295" s="386">
        <v>0</v>
      </c>
      <c r="K295" s="386">
        <v>260</v>
      </c>
      <c r="L295" s="387" t="s">
        <v>393</v>
      </c>
    </row>
    <row r="296" spans="1:12" ht="25.5" hidden="1">
      <c r="A296" s="385" t="s">
        <v>407</v>
      </c>
      <c r="B296" s="385" t="s">
        <v>408</v>
      </c>
      <c r="C296" s="385" t="s">
        <v>510</v>
      </c>
      <c r="D296" s="385" t="s">
        <v>380</v>
      </c>
      <c r="E296" s="385" t="s">
        <v>19</v>
      </c>
      <c r="F296" s="385" t="s">
        <v>410</v>
      </c>
      <c r="G296" s="385" t="s">
        <v>19</v>
      </c>
      <c r="H296" s="386">
        <v>0</v>
      </c>
      <c r="I296" s="386">
        <v>39652.86</v>
      </c>
      <c r="J296" s="386">
        <v>0</v>
      </c>
      <c r="K296" s="386">
        <v>4983.99</v>
      </c>
      <c r="L296" s="387" t="s">
        <v>411</v>
      </c>
    </row>
    <row r="297" spans="1:12" ht="25.5" hidden="1">
      <c r="A297" s="385" t="s">
        <v>407</v>
      </c>
      <c r="B297" s="385" t="s">
        <v>408</v>
      </c>
      <c r="C297" s="385" t="s">
        <v>510</v>
      </c>
      <c r="D297" s="385" t="s">
        <v>380</v>
      </c>
      <c r="E297" s="385" t="s">
        <v>19</v>
      </c>
      <c r="F297" s="385" t="s">
        <v>392</v>
      </c>
      <c r="G297" s="385" t="s">
        <v>19</v>
      </c>
      <c r="H297" s="386">
        <v>0</v>
      </c>
      <c r="I297" s="386">
        <v>4000</v>
      </c>
      <c r="J297" s="386">
        <v>0</v>
      </c>
      <c r="K297" s="386">
        <v>2149.7399999999998</v>
      </c>
      <c r="L297" s="387" t="s">
        <v>393</v>
      </c>
    </row>
    <row r="298" spans="1:12" ht="25.5" hidden="1">
      <c r="A298" s="385" t="s">
        <v>407</v>
      </c>
      <c r="B298" s="385" t="s">
        <v>408</v>
      </c>
      <c r="C298" s="385" t="s">
        <v>510</v>
      </c>
      <c r="D298" s="385" t="s">
        <v>380</v>
      </c>
      <c r="E298" s="385" t="s">
        <v>19</v>
      </c>
      <c r="F298" s="385" t="s">
        <v>410</v>
      </c>
      <c r="G298" s="385" t="s">
        <v>12</v>
      </c>
      <c r="H298" s="386">
        <v>0</v>
      </c>
      <c r="I298" s="386">
        <v>98198.86</v>
      </c>
      <c r="J298" s="386">
        <v>0</v>
      </c>
      <c r="K298" s="386">
        <v>51853.02</v>
      </c>
      <c r="L298" s="387" t="s">
        <v>411</v>
      </c>
    </row>
    <row r="299" spans="1:12" ht="25.5" hidden="1">
      <c r="A299" s="385" t="s">
        <v>407</v>
      </c>
      <c r="B299" s="385" t="s">
        <v>408</v>
      </c>
      <c r="C299" s="385" t="s">
        <v>545</v>
      </c>
      <c r="D299" s="385" t="s">
        <v>380</v>
      </c>
      <c r="E299" s="385" t="s">
        <v>19</v>
      </c>
      <c r="F299" s="385" t="s">
        <v>410</v>
      </c>
      <c r="G299" s="385" t="s">
        <v>19</v>
      </c>
      <c r="H299" s="386">
        <v>0</v>
      </c>
      <c r="I299" s="386">
        <v>5000</v>
      </c>
      <c r="J299" s="386">
        <v>0</v>
      </c>
      <c r="K299" s="386">
        <v>1240.52</v>
      </c>
      <c r="L299" s="387" t="s">
        <v>411</v>
      </c>
    </row>
    <row r="300" spans="1:12" ht="25.5" hidden="1">
      <c r="A300" s="385" t="s">
        <v>407</v>
      </c>
      <c r="B300" s="385" t="s">
        <v>408</v>
      </c>
      <c r="C300" s="385" t="s">
        <v>545</v>
      </c>
      <c r="D300" s="385" t="s">
        <v>380</v>
      </c>
      <c r="E300" s="385" t="s">
        <v>19</v>
      </c>
      <c r="F300" s="385" t="s">
        <v>410</v>
      </c>
      <c r="G300" s="385" t="s">
        <v>12</v>
      </c>
      <c r="H300" s="386">
        <v>0</v>
      </c>
      <c r="I300" s="386">
        <v>11471.54</v>
      </c>
      <c r="J300" s="386">
        <v>0</v>
      </c>
      <c r="K300" s="386">
        <v>10196.719999999999</v>
      </c>
      <c r="L300" s="387" t="s">
        <v>411</v>
      </c>
    </row>
    <row r="301" spans="1:12" ht="25.5" hidden="1">
      <c r="A301" s="385" t="s">
        <v>407</v>
      </c>
      <c r="B301" s="385" t="s">
        <v>408</v>
      </c>
      <c r="C301" s="385" t="s">
        <v>533</v>
      </c>
      <c r="D301" s="385" t="s">
        <v>380</v>
      </c>
      <c r="E301" s="385" t="s">
        <v>19</v>
      </c>
      <c r="F301" s="385" t="s">
        <v>410</v>
      </c>
      <c r="G301" s="385" t="s">
        <v>12</v>
      </c>
      <c r="H301" s="386">
        <v>0</v>
      </c>
      <c r="I301" s="386">
        <v>0</v>
      </c>
      <c r="J301" s="386">
        <v>0</v>
      </c>
      <c r="K301" s="386">
        <v>0</v>
      </c>
      <c r="L301" s="387" t="s">
        <v>411</v>
      </c>
    </row>
    <row r="302" spans="1:12" ht="25.5" hidden="1">
      <c r="A302" s="385" t="s">
        <v>407</v>
      </c>
      <c r="B302" s="385" t="s">
        <v>408</v>
      </c>
      <c r="C302" s="385" t="s">
        <v>533</v>
      </c>
      <c r="D302" s="385" t="s">
        <v>380</v>
      </c>
      <c r="E302" s="385" t="s">
        <v>19</v>
      </c>
      <c r="F302" s="385" t="s">
        <v>392</v>
      </c>
      <c r="G302" s="385" t="s">
        <v>19</v>
      </c>
      <c r="H302" s="386">
        <v>0</v>
      </c>
      <c r="I302" s="386">
        <v>0</v>
      </c>
      <c r="J302" s="386">
        <v>0</v>
      </c>
      <c r="K302" s="386">
        <v>0</v>
      </c>
      <c r="L302" s="387" t="s">
        <v>393</v>
      </c>
    </row>
    <row r="303" spans="1:12" ht="25.5" hidden="1">
      <c r="A303" s="385" t="s">
        <v>407</v>
      </c>
      <c r="B303" s="385" t="s">
        <v>408</v>
      </c>
      <c r="C303" s="385" t="s">
        <v>535</v>
      </c>
      <c r="D303" s="385" t="s">
        <v>380</v>
      </c>
      <c r="E303" s="385" t="s">
        <v>19</v>
      </c>
      <c r="F303" s="385" t="s">
        <v>392</v>
      </c>
      <c r="G303" s="385" t="s">
        <v>19</v>
      </c>
      <c r="H303" s="386">
        <v>0</v>
      </c>
      <c r="I303" s="386">
        <v>32680.799999999999</v>
      </c>
      <c r="J303" s="386">
        <v>0</v>
      </c>
      <c r="K303" s="386">
        <v>24510.6</v>
      </c>
      <c r="L303" s="387" t="s">
        <v>393</v>
      </c>
    </row>
    <row r="304" spans="1:12" ht="25.5" hidden="1">
      <c r="A304" s="385" t="s">
        <v>407</v>
      </c>
      <c r="B304" s="385" t="s">
        <v>408</v>
      </c>
      <c r="C304" s="385" t="s">
        <v>546</v>
      </c>
      <c r="D304" s="385" t="s">
        <v>380</v>
      </c>
      <c r="E304" s="385" t="s">
        <v>19</v>
      </c>
      <c r="F304" s="385" t="s">
        <v>410</v>
      </c>
      <c r="G304" s="385" t="s">
        <v>12</v>
      </c>
      <c r="H304" s="386">
        <v>0</v>
      </c>
      <c r="I304" s="386">
        <v>1000</v>
      </c>
      <c r="J304" s="386">
        <v>0</v>
      </c>
      <c r="K304" s="386">
        <v>496</v>
      </c>
      <c r="L304" s="387" t="s">
        <v>411</v>
      </c>
    </row>
    <row r="305" spans="1:12" ht="25.5" hidden="1">
      <c r="A305" s="385" t="s">
        <v>407</v>
      </c>
      <c r="B305" s="385" t="s">
        <v>408</v>
      </c>
      <c r="C305" s="385" t="s">
        <v>547</v>
      </c>
      <c r="D305" s="385" t="s">
        <v>380</v>
      </c>
      <c r="E305" s="385" t="s">
        <v>19</v>
      </c>
      <c r="F305" s="385" t="s">
        <v>410</v>
      </c>
      <c r="G305" s="385" t="s">
        <v>19</v>
      </c>
      <c r="H305" s="386">
        <v>0</v>
      </c>
      <c r="I305" s="386">
        <v>11</v>
      </c>
      <c r="J305" s="386">
        <v>0</v>
      </c>
      <c r="K305" s="386">
        <v>10.8</v>
      </c>
      <c r="L305" s="387" t="s">
        <v>411</v>
      </c>
    </row>
    <row r="306" spans="1:12" ht="25.5" hidden="1">
      <c r="A306" s="385" t="s">
        <v>407</v>
      </c>
      <c r="B306" s="385" t="s">
        <v>408</v>
      </c>
      <c r="C306" s="385" t="s">
        <v>547</v>
      </c>
      <c r="D306" s="385" t="s">
        <v>380</v>
      </c>
      <c r="E306" s="385" t="s">
        <v>19</v>
      </c>
      <c r="F306" s="385" t="s">
        <v>410</v>
      </c>
      <c r="G306" s="385" t="s">
        <v>12</v>
      </c>
      <c r="H306" s="386">
        <v>0</v>
      </c>
      <c r="I306" s="386">
        <v>941.6</v>
      </c>
      <c r="J306" s="386">
        <v>0</v>
      </c>
      <c r="K306" s="386">
        <v>941.6</v>
      </c>
      <c r="L306" s="387" t="s">
        <v>411</v>
      </c>
    </row>
    <row r="307" spans="1:12" hidden="1">
      <c r="A307" s="385" t="s">
        <v>407</v>
      </c>
      <c r="B307" s="385" t="s">
        <v>408</v>
      </c>
      <c r="C307" s="385" t="s">
        <v>538</v>
      </c>
      <c r="D307" s="385" t="s">
        <v>380</v>
      </c>
      <c r="E307" s="385" t="s">
        <v>19</v>
      </c>
      <c r="F307" s="385" t="s">
        <v>386</v>
      </c>
      <c r="G307" s="385" t="s">
        <v>19</v>
      </c>
      <c r="H307" s="386">
        <v>0</v>
      </c>
      <c r="I307" s="386">
        <v>14423.47</v>
      </c>
      <c r="J307" s="386">
        <v>0</v>
      </c>
      <c r="K307" s="386">
        <v>0</v>
      </c>
      <c r="L307" s="387" t="s">
        <v>387</v>
      </c>
    </row>
    <row r="308" spans="1:12" ht="25.5" hidden="1">
      <c r="A308" s="385" t="s">
        <v>407</v>
      </c>
      <c r="B308" s="385" t="s">
        <v>408</v>
      </c>
      <c r="C308" s="385" t="s">
        <v>680</v>
      </c>
      <c r="D308" s="385" t="s">
        <v>380</v>
      </c>
      <c r="E308" s="385" t="s">
        <v>19</v>
      </c>
      <c r="F308" s="385" t="s">
        <v>410</v>
      </c>
      <c r="G308" s="385" t="s">
        <v>12</v>
      </c>
      <c r="H308" s="386">
        <v>0</v>
      </c>
      <c r="I308" s="386">
        <v>0</v>
      </c>
      <c r="J308" s="386">
        <v>0</v>
      </c>
      <c r="K308" s="386">
        <v>0</v>
      </c>
      <c r="L308" s="387" t="s">
        <v>411</v>
      </c>
    </row>
    <row r="309" spans="1:12" ht="25.5" hidden="1">
      <c r="A309" s="385" t="s">
        <v>407</v>
      </c>
      <c r="B309" s="385" t="s">
        <v>408</v>
      </c>
      <c r="C309" s="385" t="s">
        <v>561</v>
      </c>
      <c r="D309" s="385" t="s">
        <v>380</v>
      </c>
      <c r="E309" s="385" t="s">
        <v>19</v>
      </c>
      <c r="F309" s="385" t="s">
        <v>410</v>
      </c>
      <c r="G309" s="385" t="s">
        <v>19</v>
      </c>
      <c r="H309" s="386">
        <v>0</v>
      </c>
      <c r="I309" s="386">
        <v>13.14</v>
      </c>
      <c r="J309" s="386">
        <v>0</v>
      </c>
      <c r="K309" s="386">
        <v>0</v>
      </c>
      <c r="L309" s="387" t="s">
        <v>411</v>
      </c>
    </row>
    <row r="310" spans="1:12" ht="25.5" hidden="1">
      <c r="A310" s="385" t="s">
        <v>407</v>
      </c>
      <c r="B310" s="385" t="s">
        <v>408</v>
      </c>
      <c r="C310" s="385" t="s">
        <v>562</v>
      </c>
      <c r="D310" s="385" t="s">
        <v>380</v>
      </c>
      <c r="E310" s="385" t="s">
        <v>19</v>
      </c>
      <c r="F310" s="385" t="s">
        <v>410</v>
      </c>
      <c r="G310" s="385" t="s">
        <v>19</v>
      </c>
      <c r="H310" s="386">
        <v>0</v>
      </c>
      <c r="I310" s="386">
        <v>36740</v>
      </c>
      <c r="J310" s="386">
        <v>0</v>
      </c>
      <c r="K310" s="386">
        <v>36740</v>
      </c>
      <c r="L310" s="387" t="s">
        <v>411</v>
      </c>
    </row>
    <row r="311" spans="1:12" ht="25.5" hidden="1">
      <c r="A311" s="385" t="s">
        <v>407</v>
      </c>
      <c r="B311" s="385" t="s">
        <v>408</v>
      </c>
      <c r="C311" s="385" t="s">
        <v>539</v>
      </c>
      <c r="D311" s="385" t="s">
        <v>380</v>
      </c>
      <c r="E311" s="385" t="s">
        <v>19</v>
      </c>
      <c r="F311" s="385" t="s">
        <v>410</v>
      </c>
      <c r="G311" s="385" t="s">
        <v>19</v>
      </c>
      <c r="H311" s="386">
        <v>0</v>
      </c>
      <c r="I311" s="386">
        <v>3000</v>
      </c>
      <c r="J311" s="386">
        <v>0</v>
      </c>
      <c r="K311" s="386">
        <v>1600</v>
      </c>
      <c r="L311" s="387" t="s">
        <v>411</v>
      </c>
    </row>
    <row r="312" spans="1:12" ht="25.5" hidden="1">
      <c r="A312" s="385" t="s">
        <v>407</v>
      </c>
      <c r="B312" s="385" t="s">
        <v>408</v>
      </c>
      <c r="C312" s="385" t="s">
        <v>540</v>
      </c>
      <c r="D312" s="385" t="s">
        <v>380</v>
      </c>
      <c r="E312" s="385" t="s">
        <v>19</v>
      </c>
      <c r="F312" s="385" t="s">
        <v>410</v>
      </c>
      <c r="G312" s="385" t="s">
        <v>19</v>
      </c>
      <c r="H312" s="386">
        <v>0</v>
      </c>
      <c r="I312" s="386">
        <v>1300</v>
      </c>
      <c r="J312" s="386">
        <v>0</v>
      </c>
      <c r="K312" s="386">
        <v>1300</v>
      </c>
      <c r="L312" s="387" t="s">
        <v>411</v>
      </c>
    </row>
    <row r="313" spans="1:12" ht="25.5" hidden="1">
      <c r="A313" s="385" t="s">
        <v>407</v>
      </c>
      <c r="B313" s="385" t="s">
        <v>408</v>
      </c>
      <c r="C313" s="385" t="s">
        <v>540</v>
      </c>
      <c r="D313" s="385" t="s">
        <v>380</v>
      </c>
      <c r="E313" s="385" t="s">
        <v>19</v>
      </c>
      <c r="F313" s="385" t="s">
        <v>410</v>
      </c>
      <c r="G313" s="385" t="s">
        <v>12</v>
      </c>
      <c r="H313" s="386">
        <v>0</v>
      </c>
      <c r="I313" s="386">
        <v>0</v>
      </c>
      <c r="J313" s="386">
        <v>0</v>
      </c>
      <c r="K313" s="386">
        <v>0</v>
      </c>
      <c r="L313" s="387" t="s">
        <v>411</v>
      </c>
    </row>
    <row r="314" spans="1:12" ht="25.5" hidden="1">
      <c r="A314" s="385" t="s">
        <v>407</v>
      </c>
      <c r="B314" s="385" t="s">
        <v>408</v>
      </c>
      <c r="C314" s="385" t="s">
        <v>548</v>
      </c>
      <c r="D314" s="385" t="s">
        <v>380</v>
      </c>
      <c r="E314" s="385" t="s">
        <v>19</v>
      </c>
      <c r="F314" s="385" t="s">
        <v>392</v>
      </c>
      <c r="G314" s="385" t="s">
        <v>19</v>
      </c>
      <c r="H314" s="386">
        <v>0</v>
      </c>
      <c r="I314" s="386">
        <v>4781.32</v>
      </c>
      <c r="J314" s="386">
        <v>0</v>
      </c>
      <c r="K314" s="386">
        <v>2494.02</v>
      </c>
      <c r="L314" s="387" t="s">
        <v>393</v>
      </c>
    </row>
    <row r="315" spans="1:12" ht="25.5" hidden="1">
      <c r="A315" s="385" t="s">
        <v>407</v>
      </c>
      <c r="B315" s="385" t="s">
        <v>408</v>
      </c>
      <c r="C315" s="385" t="s">
        <v>542</v>
      </c>
      <c r="D315" s="385" t="s">
        <v>380</v>
      </c>
      <c r="E315" s="385" t="s">
        <v>19</v>
      </c>
      <c r="F315" s="385" t="s">
        <v>410</v>
      </c>
      <c r="G315" s="385" t="s">
        <v>19</v>
      </c>
      <c r="H315" s="386">
        <v>0</v>
      </c>
      <c r="I315" s="386">
        <v>3534</v>
      </c>
      <c r="J315" s="386">
        <v>0</v>
      </c>
      <c r="K315" s="386">
        <v>0</v>
      </c>
      <c r="L315" s="387" t="s">
        <v>411</v>
      </c>
    </row>
    <row r="316" spans="1:12" ht="25.5" hidden="1">
      <c r="A316" s="385" t="s">
        <v>407</v>
      </c>
      <c r="B316" s="385" t="s">
        <v>417</v>
      </c>
      <c r="C316" s="385" t="s">
        <v>521</v>
      </c>
      <c r="D316" s="385" t="s">
        <v>380</v>
      </c>
      <c r="E316" s="385" t="s">
        <v>19</v>
      </c>
      <c r="F316" s="385" t="s">
        <v>392</v>
      </c>
      <c r="G316" s="385" t="s">
        <v>19</v>
      </c>
      <c r="H316" s="386">
        <v>0</v>
      </c>
      <c r="I316" s="386">
        <v>2768</v>
      </c>
      <c r="J316" s="386">
        <v>0</v>
      </c>
      <c r="K316" s="386">
        <v>487.4</v>
      </c>
      <c r="L316" s="387" t="s">
        <v>393</v>
      </c>
    </row>
    <row r="317" spans="1:12" ht="25.5" hidden="1">
      <c r="A317" s="385" t="s">
        <v>407</v>
      </c>
      <c r="B317" s="385" t="s">
        <v>417</v>
      </c>
      <c r="C317" s="385" t="s">
        <v>523</v>
      </c>
      <c r="D317" s="385" t="s">
        <v>380</v>
      </c>
      <c r="E317" s="385" t="s">
        <v>19</v>
      </c>
      <c r="F317" s="385" t="s">
        <v>392</v>
      </c>
      <c r="G317" s="385" t="s">
        <v>19</v>
      </c>
      <c r="H317" s="386">
        <v>0</v>
      </c>
      <c r="I317" s="386">
        <v>123840</v>
      </c>
      <c r="J317" s="386">
        <v>0</v>
      </c>
      <c r="K317" s="386">
        <v>68662.36</v>
      </c>
      <c r="L317" s="387" t="s">
        <v>393</v>
      </c>
    </row>
    <row r="318" spans="1:12" ht="25.5" hidden="1">
      <c r="A318" s="385" t="s">
        <v>407</v>
      </c>
      <c r="B318" s="385" t="s">
        <v>417</v>
      </c>
      <c r="C318" s="385" t="s">
        <v>524</v>
      </c>
      <c r="D318" s="385" t="s">
        <v>380</v>
      </c>
      <c r="E318" s="385" t="s">
        <v>19</v>
      </c>
      <c r="F318" s="385" t="s">
        <v>392</v>
      </c>
      <c r="G318" s="385" t="s">
        <v>19</v>
      </c>
      <c r="H318" s="386">
        <v>0</v>
      </c>
      <c r="I318" s="386">
        <v>10455.4</v>
      </c>
      <c r="J318" s="386">
        <v>0</v>
      </c>
      <c r="K318" s="386">
        <v>10455.4</v>
      </c>
      <c r="L318" s="387" t="s">
        <v>393</v>
      </c>
    </row>
    <row r="319" spans="1:12" ht="25.5" hidden="1">
      <c r="A319" s="385" t="s">
        <v>407</v>
      </c>
      <c r="B319" s="385" t="s">
        <v>417</v>
      </c>
      <c r="C319" s="385" t="s">
        <v>525</v>
      </c>
      <c r="D319" s="385" t="s">
        <v>380</v>
      </c>
      <c r="E319" s="385" t="s">
        <v>19</v>
      </c>
      <c r="F319" s="385" t="s">
        <v>392</v>
      </c>
      <c r="G319" s="385" t="s">
        <v>19</v>
      </c>
      <c r="H319" s="386">
        <v>0</v>
      </c>
      <c r="I319" s="386">
        <v>20829.599999999999</v>
      </c>
      <c r="J319" s="386">
        <v>0</v>
      </c>
      <c r="K319" s="386">
        <v>12712.11</v>
      </c>
      <c r="L319" s="387" t="s">
        <v>393</v>
      </c>
    </row>
    <row r="320" spans="1:12" ht="25.5" hidden="1">
      <c r="A320" s="385" t="s">
        <v>407</v>
      </c>
      <c r="B320" s="385" t="s">
        <v>417</v>
      </c>
      <c r="C320" s="385" t="s">
        <v>526</v>
      </c>
      <c r="D320" s="385" t="s">
        <v>380</v>
      </c>
      <c r="E320" s="385" t="s">
        <v>19</v>
      </c>
      <c r="F320" s="385" t="s">
        <v>392</v>
      </c>
      <c r="G320" s="385" t="s">
        <v>19</v>
      </c>
      <c r="H320" s="386">
        <v>0</v>
      </c>
      <c r="I320" s="386">
        <v>3034</v>
      </c>
      <c r="J320" s="386">
        <v>0</v>
      </c>
      <c r="K320" s="386">
        <v>1839.6</v>
      </c>
      <c r="L320" s="387" t="s">
        <v>393</v>
      </c>
    </row>
    <row r="321" spans="1:12" ht="25.5" hidden="1">
      <c r="A321" s="385" t="s">
        <v>407</v>
      </c>
      <c r="B321" s="385" t="s">
        <v>417</v>
      </c>
      <c r="C321" s="385" t="s">
        <v>528</v>
      </c>
      <c r="D321" s="385" t="s">
        <v>380</v>
      </c>
      <c r="E321" s="385" t="s">
        <v>19</v>
      </c>
      <c r="F321" s="385" t="s">
        <v>410</v>
      </c>
      <c r="G321" s="385" t="s">
        <v>19</v>
      </c>
      <c r="H321" s="386">
        <v>0</v>
      </c>
      <c r="I321" s="386">
        <v>2500</v>
      </c>
      <c r="J321" s="386">
        <v>0</v>
      </c>
      <c r="K321" s="386">
        <v>502.24</v>
      </c>
      <c r="L321" s="387" t="s">
        <v>411</v>
      </c>
    </row>
    <row r="322" spans="1:12" ht="25.5" hidden="1">
      <c r="A322" s="385" t="s">
        <v>407</v>
      </c>
      <c r="B322" s="385" t="s">
        <v>417</v>
      </c>
      <c r="C322" s="385" t="s">
        <v>530</v>
      </c>
      <c r="D322" s="385" t="s">
        <v>380</v>
      </c>
      <c r="E322" s="385" t="s">
        <v>19</v>
      </c>
      <c r="F322" s="385" t="s">
        <v>410</v>
      </c>
      <c r="G322" s="385" t="s">
        <v>19</v>
      </c>
      <c r="H322" s="386">
        <v>0</v>
      </c>
      <c r="I322" s="386">
        <v>323260</v>
      </c>
      <c r="J322" s="386">
        <v>0</v>
      </c>
      <c r="K322" s="386">
        <v>118206.94</v>
      </c>
      <c r="L322" s="387" t="s">
        <v>411</v>
      </c>
    </row>
    <row r="323" spans="1:12" ht="25.5" hidden="1">
      <c r="A323" s="385" t="s">
        <v>407</v>
      </c>
      <c r="B323" s="385" t="s">
        <v>417</v>
      </c>
      <c r="C323" s="385" t="s">
        <v>416</v>
      </c>
      <c r="D323" s="385" t="s">
        <v>380</v>
      </c>
      <c r="E323" s="385" t="s">
        <v>19</v>
      </c>
      <c r="F323" s="385" t="s">
        <v>410</v>
      </c>
      <c r="G323" s="385" t="s">
        <v>19</v>
      </c>
      <c r="H323" s="386">
        <v>0</v>
      </c>
      <c r="I323" s="386">
        <v>22000</v>
      </c>
      <c r="J323" s="386">
        <v>0</v>
      </c>
      <c r="K323" s="386">
        <v>20613.439999999999</v>
      </c>
      <c r="L323" s="387" t="s">
        <v>411</v>
      </c>
    </row>
    <row r="324" spans="1:12" ht="25.5" hidden="1">
      <c r="A324" s="385" t="s">
        <v>407</v>
      </c>
      <c r="B324" s="385" t="s">
        <v>417</v>
      </c>
      <c r="C324" s="385" t="s">
        <v>531</v>
      </c>
      <c r="D324" s="385" t="s">
        <v>380</v>
      </c>
      <c r="E324" s="385" t="s">
        <v>19</v>
      </c>
      <c r="F324" s="385" t="s">
        <v>392</v>
      </c>
      <c r="G324" s="385" t="s">
        <v>19</v>
      </c>
      <c r="H324" s="386">
        <v>0</v>
      </c>
      <c r="I324" s="386">
        <v>0</v>
      </c>
      <c r="J324" s="386">
        <v>0</v>
      </c>
      <c r="K324" s="386">
        <v>0</v>
      </c>
      <c r="L324" s="387" t="s">
        <v>393</v>
      </c>
    </row>
    <row r="325" spans="1:12" ht="25.5" hidden="1">
      <c r="A325" s="385" t="s">
        <v>407</v>
      </c>
      <c r="B325" s="385" t="s">
        <v>417</v>
      </c>
      <c r="C325" s="385" t="s">
        <v>510</v>
      </c>
      <c r="D325" s="385" t="s">
        <v>380</v>
      </c>
      <c r="E325" s="385" t="s">
        <v>19</v>
      </c>
      <c r="F325" s="385" t="s">
        <v>410</v>
      </c>
      <c r="G325" s="385" t="s">
        <v>19</v>
      </c>
      <c r="H325" s="386">
        <v>0</v>
      </c>
      <c r="I325" s="386">
        <v>92624.4</v>
      </c>
      <c r="J325" s="386">
        <v>0</v>
      </c>
      <c r="K325" s="386">
        <v>73106.33</v>
      </c>
      <c r="L325" s="387" t="s">
        <v>411</v>
      </c>
    </row>
    <row r="326" spans="1:12" ht="25.5" hidden="1">
      <c r="A326" s="385" t="s">
        <v>407</v>
      </c>
      <c r="B326" s="385" t="s">
        <v>417</v>
      </c>
      <c r="C326" s="385" t="s">
        <v>532</v>
      </c>
      <c r="D326" s="385" t="s">
        <v>380</v>
      </c>
      <c r="E326" s="385" t="s">
        <v>19</v>
      </c>
      <c r="F326" s="385" t="s">
        <v>410</v>
      </c>
      <c r="G326" s="385" t="s">
        <v>19</v>
      </c>
      <c r="H326" s="386">
        <v>0</v>
      </c>
      <c r="I326" s="386">
        <v>1000</v>
      </c>
      <c r="J326" s="386">
        <v>0</v>
      </c>
      <c r="K326" s="386">
        <v>559.91</v>
      </c>
      <c r="L326" s="387" t="s">
        <v>411</v>
      </c>
    </row>
    <row r="327" spans="1:12" ht="25.5" hidden="1">
      <c r="A327" s="385" t="s">
        <v>407</v>
      </c>
      <c r="B327" s="385" t="s">
        <v>417</v>
      </c>
      <c r="C327" s="385" t="s">
        <v>559</v>
      </c>
      <c r="D327" s="385" t="s">
        <v>380</v>
      </c>
      <c r="E327" s="385" t="s">
        <v>19</v>
      </c>
      <c r="F327" s="385" t="s">
        <v>410</v>
      </c>
      <c r="G327" s="385" t="s">
        <v>19</v>
      </c>
      <c r="H327" s="386">
        <v>0</v>
      </c>
      <c r="I327" s="386">
        <v>984</v>
      </c>
      <c r="J327" s="386">
        <v>0</v>
      </c>
      <c r="K327" s="386">
        <v>984</v>
      </c>
      <c r="L327" s="387" t="s">
        <v>411</v>
      </c>
    </row>
    <row r="328" spans="1:12" ht="25.5" hidden="1">
      <c r="A328" s="385" t="s">
        <v>407</v>
      </c>
      <c r="B328" s="385" t="s">
        <v>417</v>
      </c>
      <c r="C328" s="385" t="s">
        <v>559</v>
      </c>
      <c r="D328" s="385" t="s">
        <v>380</v>
      </c>
      <c r="E328" s="385" t="s">
        <v>19</v>
      </c>
      <c r="F328" s="385" t="s">
        <v>389</v>
      </c>
      <c r="G328" s="385" t="s">
        <v>19</v>
      </c>
      <c r="H328" s="386">
        <v>0</v>
      </c>
      <c r="I328" s="386">
        <v>0</v>
      </c>
      <c r="J328" s="386">
        <v>0</v>
      </c>
      <c r="K328" s="386">
        <v>0</v>
      </c>
      <c r="L328" s="387" t="s">
        <v>390</v>
      </c>
    </row>
    <row r="329" spans="1:12" ht="25.5" hidden="1">
      <c r="A329" s="385" t="s">
        <v>407</v>
      </c>
      <c r="B329" s="385" t="s">
        <v>417</v>
      </c>
      <c r="C329" s="385" t="s">
        <v>535</v>
      </c>
      <c r="D329" s="385" t="s">
        <v>380</v>
      </c>
      <c r="E329" s="385" t="s">
        <v>19</v>
      </c>
      <c r="F329" s="385" t="s">
        <v>392</v>
      </c>
      <c r="G329" s="385" t="s">
        <v>19</v>
      </c>
      <c r="H329" s="386">
        <v>0</v>
      </c>
      <c r="I329" s="386">
        <v>4834.28</v>
      </c>
      <c r="J329" s="386">
        <v>0</v>
      </c>
      <c r="K329" s="386">
        <v>2542.73</v>
      </c>
      <c r="L329" s="387" t="s">
        <v>393</v>
      </c>
    </row>
    <row r="330" spans="1:12" hidden="1">
      <c r="A330" s="385" t="s">
        <v>407</v>
      </c>
      <c r="B330" s="385" t="s">
        <v>417</v>
      </c>
      <c r="C330" s="385" t="s">
        <v>546</v>
      </c>
      <c r="D330" s="385" t="s">
        <v>380</v>
      </c>
      <c r="E330" s="385" t="s">
        <v>19</v>
      </c>
      <c r="F330" s="385" t="s">
        <v>386</v>
      </c>
      <c r="G330" s="385" t="s">
        <v>19</v>
      </c>
      <c r="H330" s="386">
        <v>0</v>
      </c>
      <c r="I330" s="386">
        <v>30000</v>
      </c>
      <c r="J330" s="386">
        <v>0</v>
      </c>
      <c r="K330" s="386">
        <v>10045</v>
      </c>
      <c r="L330" s="387" t="s">
        <v>387</v>
      </c>
    </row>
    <row r="331" spans="1:12" hidden="1">
      <c r="A331" s="385" t="s">
        <v>407</v>
      </c>
      <c r="B331" s="385" t="s">
        <v>417</v>
      </c>
      <c r="C331" s="385" t="s">
        <v>536</v>
      </c>
      <c r="D331" s="385" t="s">
        <v>380</v>
      </c>
      <c r="E331" s="385" t="s">
        <v>19</v>
      </c>
      <c r="F331" s="385" t="s">
        <v>386</v>
      </c>
      <c r="G331" s="385" t="s">
        <v>19</v>
      </c>
      <c r="H331" s="386">
        <v>0</v>
      </c>
      <c r="I331" s="386">
        <v>58</v>
      </c>
      <c r="J331" s="386">
        <v>0</v>
      </c>
      <c r="K331" s="386">
        <v>56</v>
      </c>
      <c r="L331" s="387" t="s">
        <v>387</v>
      </c>
    </row>
    <row r="332" spans="1:12" ht="25.5" hidden="1">
      <c r="A332" s="385" t="s">
        <v>407</v>
      </c>
      <c r="B332" s="385" t="s">
        <v>417</v>
      </c>
      <c r="C332" s="385" t="s">
        <v>547</v>
      </c>
      <c r="D332" s="385" t="s">
        <v>380</v>
      </c>
      <c r="E332" s="385" t="s">
        <v>19</v>
      </c>
      <c r="F332" s="385" t="s">
        <v>410</v>
      </c>
      <c r="G332" s="385" t="s">
        <v>19</v>
      </c>
      <c r="H332" s="386">
        <v>0</v>
      </c>
      <c r="I332" s="386">
        <v>941.6</v>
      </c>
      <c r="J332" s="386">
        <v>0</v>
      </c>
      <c r="K332" s="386">
        <v>0</v>
      </c>
      <c r="L332" s="387" t="s">
        <v>411</v>
      </c>
    </row>
    <row r="333" spans="1:12" hidden="1">
      <c r="A333" s="385" t="s">
        <v>407</v>
      </c>
      <c r="B333" s="385" t="s">
        <v>417</v>
      </c>
      <c r="C333" s="385" t="s">
        <v>538</v>
      </c>
      <c r="D333" s="385" t="s">
        <v>380</v>
      </c>
      <c r="E333" s="385" t="s">
        <v>19</v>
      </c>
      <c r="F333" s="385" t="s">
        <v>386</v>
      </c>
      <c r="G333" s="385" t="s">
        <v>19</v>
      </c>
      <c r="H333" s="386">
        <v>0</v>
      </c>
      <c r="I333" s="386">
        <v>34000</v>
      </c>
      <c r="J333" s="386">
        <v>0</v>
      </c>
      <c r="K333" s="386">
        <v>0</v>
      </c>
      <c r="L333" s="387" t="s">
        <v>387</v>
      </c>
    </row>
    <row r="334" spans="1:12" ht="25.5" hidden="1">
      <c r="A334" s="385" t="s">
        <v>407</v>
      </c>
      <c r="B334" s="385" t="s">
        <v>417</v>
      </c>
      <c r="C334" s="385" t="s">
        <v>541</v>
      </c>
      <c r="D334" s="385" t="s">
        <v>380</v>
      </c>
      <c r="E334" s="385" t="s">
        <v>19</v>
      </c>
      <c r="F334" s="385" t="s">
        <v>392</v>
      </c>
      <c r="G334" s="385" t="s">
        <v>19</v>
      </c>
      <c r="H334" s="386">
        <v>0</v>
      </c>
      <c r="I334" s="386">
        <v>5000</v>
      </c>
      <c r="J334" s="386">
        <v>0</v>
      </c>
      <c r="K334" s="386">
        <v>4993.8</v>
      </c>
      <c r="L334" s="387" t="s">
        <v>393</v>
      </c>
    </row>
    <row r="335" spans="1:12" ht="25.5" hidden="1">
      <c r="A335" s="385" t="s">
        <v>362</v>
      </c>
      <c r="B335" s="385" t="s">
        <v>332</v>
      </c>
      <c r="C335" s="385" t="s">
        <v>521</v>
      </c>
      <c r="D335" s="385" t="s">
        <v>380</v>
      </c>
      <c r="E335" s="385" t="s">
        <v>19</v>
      </c>
      <c r="F335" s="385" t="s">
        <v>392</v>
      </c>
      <c r="G335" s="385" t="s">
        <v>19</v>
      </c>
      <c r="H335" s="386">
        <v>0</v>
      </c>
      <c r="I335" s="386">
        <v>2500</v>
      </c>
      <c r="J335" s="386">
        <v>0</v>
      </c>
      <c r="K335" s="386">
        <v>2000</v>
      </c>
      <c r="L335" s="387" t="s">
        <v>393</v>
      </c>
    </row>
    <row r="336" spans="1:12" ht="25.5" hidden="1">
      <c r="A336" s="385" t="s">
        <v>362</v>
      </c>
      <c r="B336" s="385" t="s">
        <v>332</v>
      </c>
      <c r="C336" s="385" t="s">
        <v>523</v>
      </c>
      <c r="D336" s="385" t="s">
        <v>380</v>
      </c>
      <c r="E336" s="385" t="s">
        <v>19</v>
      </c>
      <c r="F336" s="385" t="s">
        <v>392</v>
      </c>
      <c r="G336" s="385" t="s">
        <v>19</v>
      </c>
      <c r="H336" s="386">
        <v>0</v>
      </c>
      <c r="I336" s="386">
        <v>1237890.01</v>
      </c>
      <c r="J336" s="386">
        <v>0</v>
      </c>
      <c r="K336" s="386">
        <v>901893.77</v>
      </c>
      <c r="L336" s="387" t="s">
        <v>393</v>
      </c>
    </row>
    <row r="337" spans="1:12" hidden="1">
      <c r="A337" s="385" t="s">
        <v>362</v>
      </c>
      <c r="B337" s="385" t="s">
        <v>332</v>
      </c>
      <c r="C337" s="385" t="s">
        <v>523</v>
      </c>
      <c r="D337" s="385" t="s">
        <v>380</v>
      </c>
      <c r="E337" s="385" t="s">
        <v>19</v>
      </c>
      <c r="F337" s="385" t="s">
        <v>386</v>
      </c>
      <c r="G337" s="385" t="s">
        <v>19</v>
      </c>
      <c r="H337" s="386">
        <v>0</v>
      </c>
      <c r="I337" s="386">
        <v>186595.35</v>
      </c>
      <c r="J337" s="386">
        <v>0</v>
      </c>
      <c r="K337" s="386">
        <v>0</v>
      </c>
      <c r="L337" s="387" t="s">
        <v>387</v>
      </c>
    </row>
    <row r="338" spans="1:12" ht="25.5" hidden="1">
      <c r="A338" s="385" t="s">
        <v>362</v>
      </c>
      <c r="B338" s="385" t="s">
        <v>332</v>
      </c>
      <c r="C338" s="385" t="s">
        <v>523</v>
      </c>
      <c r="D338" s="385" t="s">
        <v>380</v>
      </c>
      <c r="E338" s="385" t="s">
        <v>19</v>
      </c>
      <c r="F338" s="385" t="s">
        <v>392</v>
      </c>
      <c r="G338" s="385" t="s">
        <v>12</v>
      </c>
      <c r="H338" s="386">
        <v>0</v>
      </c>
      <c r="I338" s="386">
        <v>211472</v>
      </c>
      <c r="J338" s="386">
        <v>0</v>
      </c>
      <c r="K338" s="386">
        <v>146213.54999999999</v>
      </c>
      <c r="L338" s="387" t="s">
        <v>393</v>
      </c>
    </row>
    <row r="339" spans="1:12" ht="25.5" hidden="1">
      <c r="A339" s="385" t="s">
        <v>362</v>
      </c>
      <c r="B339" s="385" t="s">
        <v>332</v>
      </c>
      <c r="C339" s="385" t="s">
        <v>524</v>
      </c>
      <c r="D339" s="385" t="s">
        <v>380</v>
      </c>
      <c r="E339" s="385" t="s">
        <v>19</v>
      </c>
      <c r="F339" s="385" t="s">
        <v>392</v>
      </c>
      <c r="G339" s="385" t="s">
        <v>19</v>
      </c>
      <c r="H339" s="386">
        <v>0</v>
      </c>
      <c r="I339" s="386">
        <v>130562.2</v>
      </c>
      <c r="J339" s="386">
        <v>0</v>
      </c>
      <c r="K339" s="386">
        <v>122821.87</v>
      </c>
      <c r="L339" s="387" t="s">
        <v>393</v>
      </c>
    </row>
    <row r="340" spans="1:12" ht="25.5" hidden="1">
      <c r="A340" s="385" t="s">
        <v>362</v>
      </c>
      <c r="B340" s="385" t="s">
        <v>332</v>
      </c>
      <c r="C340" s="385" t="s">
        <v>525</v>
      </c>
      <c r="D340" s="385" t="s">
        <v>380</v>
      </c>
      <c r="E340" s="385" t="s">
        <v>19</v>
      </c>
      <c r="F340" s="385" t="s">
        <v>392</v>
      </c>
      <c r="G340" s="385" t="s">
        <v>19</v>
      </c>
      <c r="H340" s="386">
        <v>0</v>
      </c>
      <c r="I340" s="386">
        <v>182956.99</v>
      </c>
      <c r="J340" s="386">
        <v>0</v>
      </c>
      <c r="K340" s="386">
        <v>173483.51</v>
      </c>
      <c r="L340" s="387" t="s">
        <v>393</v>
      </c>
    </row>
    <row r="341" spans="1:12" ht="25.5" hidden="1">
      <c r="A341" s="385" t="s">
        <v>362</v>
      </c>
      <c r="B341" s="385" t="s">
        <v>332</v>
      </c>
      <c r="C341" s="385" t="s">
        <v>526</v>
      </c>
      <c r="D341" s="385" t="s">
        <v>380</v>
      </c>
      <c r="E341" s="385" t="s">
        <v>19</v>
      </c>
      <c r="F341" s="385" t="s">
        <v>392</v>
      </c>
      <c r="G341" s="385" t="s">
        <v>19</v>
      </c>
      <c r="H341" s="386">
        <v>0</v>
      </c>
      <c r="I341" s="386">
        <v>21299</v>
      </c>
      <c r="J341" s="386">
        <v>0</v>
      </c>
      <c r="K341" s="386">
        <v>18903.990000000002</v>
      </c>
      <c r="L341" s="387" t="s">
        <v>393</v>
      </c>
    </row>
    <row r="342" spans="1:12" ht="25.5" hidden="1">
      <c r="A342" s="385" t="s">
        <v>362</v>
      </c>
      <c r="B342" s="385" t="s">
        <v>332</v>
      </c>
      <c r="C342" s="385" t="s">
        <v>528</v>
      </c>
      <c r="D342" s="385" t="s">
        <v>380</v>
      </c>
      <c r="E342" s="385" t="s">
        <v>19</v>
      </c>
      <c r="F342" s="385" t="s">
        <v>392</v>
      </c>
      <c r="G342" s="385" t="s">
        <v>19</v>
      </c>
      <c r="H342" s="386">
        <v>0</v>
      </c>
      <c r="I342" s="386">
        <v>8500</v>
      </c>
      <c r="J342" s="386">
        <v>0</v>
      </c>
      <c r="K342" s="386">
        <v>6537.94</v>
      </c>
      <c r="L342" s="387" t="s">
        <v>393</v>
      </c>
    </row>
    <row r="343" spans="1:12" ht="25.5" hidden="1">
      <c r="A343" s="385" t="s">
        <v>362</v>
      </c>
      <c r="B343" s="385" t="s">
        <v>332</v>
      </c>
      <c r="C343" s="385" t="s">
        <v>416</v>
      </c>
      <c r="D343" s="385" t="s">
        <v>380</v>
      </c>
      <c r="E343" s="385" t="s">
        <v>19</v>
      </c>
      <c r="F343" s="385" t="s">
        <v>392</v>
      </c>
      <c r="G343" s="385" t="s">
        <v>19</v>
      </c>
      <c r="H343" s="386">
        <v>0</v>
      </c>
      <c r="I343" s="386">
        <v>500</v>
      </c>
      <c r="J343" s="386">
        <v>0</v>
      </c>
      <c r="K343" s="386">
        <v>0</v>
      </c>
      <c r="L343" s="387" t="s">
        <v>393</v>
      </c>
    </row>
    <row r="344" spans="1:12" ht="25.5" hidden="1">
      <c r="A344" s="385" t="s">
        <v>362</v>
      </c>
      <c r="B344" s="385" t="s">
        <v>332</v>
      </c>
      <c r="C344" s="385" t="s">
        <v>531</v>
      </c>
      <c r="D344" s="385" t="s">
        <v>380</v>
      </c>
      <c r="E344" s="385" t="s">
        <v>19</v>
      </c>
      <c r="F344" s="385" t="s">
        <v>392</v>
      </c>
      <c r="G344" s="385" t="s">
        <v>19</v>
      </c>
      <c r="H344" s="386">
        <v>0</v>
      </c>
      <c r="I344" s="386">
        <v>1575</v>
      </c>
      <c r="J344" s="386">
        <v>0</v>
      </c>
      <c r="K344" s="386">
        <v>1085</v>
      </c>
      <c r="L344" s="387" t="s">
        <v>393</v>
      </c>
    </row>
    <row r="345" spans="1:12" ht="25.5" hidden="1">
      <c r="A345" s="385" t="s">
        <v>362</v>
      </c>
      <c r="B345" s="385" t="s">
        <v>332</v>
      </c>
      <c r="C345" s="385" t="s">
        <v>510</v>
      </c>
      <c r="D345" s="385" t="s">
        <v>380</v>
      </c>
      <c r="E345" s="385" t="s">
        <v>19</v>
      </c>
      <c r="F345" s="385" t="s">
        <v>392</v>
      </c>
      <c r="G345" s="385" t="s">
        <v>19</v>
      </c>
      <c r="H345" s="386">
        <v>0</v>
      </c>
      <c r="I345" s="386">
        <v>59397.88</v>
      </c>
      <c r="J345" s="386">
        <v>0</v>
      </c>
      <c r="K345" s="386">
        <v>38801.39</v>
      </c>
      <c r="L345" s="387" t="s">
        <v>393</v>
      </c>
    </row>
    <row r="346" spans="1:12" ht="25.5" hidden="1">
      <c r="A346" s="385" t="s">
        <v>362</v>
      </c>
      <c r="B346" s="385" t="s">
        <v>332</v>
      </c>
      <c r="C346" s="385" t="s">
        <v>510</v>
      </c>
      <c r="D346" s="385" t="s">
        <v>380</v>
      </c>
      <c r="E346" s="385" t="s">
        <v>19</v>
      </c>
      <c r="F346" s="385" t="s">
        <v>418</v>
      </c>
      <c r="G346" s="385" t="s">
        <v>12</v>
      </c>
      <c r="H346" s="386">
        <v>0</v>
      </c>
      <c r="I346" s="386">
        <v>346028</v>
      </c>
      <c r="J346" s="386">
        <v>0</v>
      </c>
      <c r="K346" s="386">
        <v>39329.25</v>
      </c>
      <c r="L346" s="387" t="s">
        <v>419</v>
      </c>
    </row>
    <row r="347" spans="1:12" ht="25.5" hidden="1">
      <c r="A347" s="385" t="s">
        <v>362</v>
      </c>
      <c r="B347" s="385" t="s">
        <v>332</v>
      </c>
      <c r="C347" s="385" t="s">
        <v>532</v>
      </c>
      <c r="D347" s="385" t="s">
        <v>380</v>
      </c>
      <c r="E347" s="385" t="s">
        <v>19</v>
      </c>
      <c r="F347" s="385" t="s">
        <v>392</v>
      </c>
      <c r="G347" s="385" t="s">
        <v>19</v>
      </c>
      <c r="H347" s="386">
        <v>0</v>
      </c>
      <c r="I347" s="386">
        <v>2000</v>
      </c>
      <c r="J347" s="386">
        <v>0</v>
      </c>
      <c r="K347" s="386">
        <v>1335.19</v>
      </c>
      <c r="L347" s="387" t="s">
        <v>393</v>
      </c>
    </row>
    <row r="348" spans="1:12" ht="25.5" hidden="1">
      <c r="A348" s="385" t="s">
        <v>362</v>
      </c>
      <c r="B348" s="385" t="s">
        <v>332</v>
      </c>
      <c r="C348" s="385" t="s">
        <v>533</v>
      </c>
      <c r="D348" s="385" t="s">
        <v>380</v>
      </c>
      <c r="E348" s="385" t="s">
        <v>19</v>
      </c>
      <c r="F348" s="385" t="s">
        <v>392</v>
      </c>
      <c r="G348" s="385" t="s">
        <v>19</v>
      </c>
      <c r="H348" s="386">
        <v>0</v>
      </c>
      <c r="I348" s="386">
        <v>1500</v>
      </c>
      <c r="J348" s="386">
        <v>0</v>
      </c>
      <c r="K348" s="386">
        <v>735.5</v>
      </c>
      <c r="L348" s="387" t="s">
        <v>393</v>
      </c>
    </row>
    <row r="349" spans="1:12" ht="25.5" hidden="1">
      <c r="A349" s="385" t="s">
        <v>362</v>
      </c>
      <c r="B349" s="385" t="s">
        <v>332</v>
      </c>
      <c r="C349" s="385" t="s">
        <v>535</v>
      </c>
      <c r="D349" s="385" t="s">
        <v>380</v>
      </c>
      <c r="E349" s="385" t="s">
        <v>19</v>
      </c>
      <c r="F349" s="385" t="s">
        <v>392</v>
      </c>
      <c r="G349" s="385" t="s">
        <v>19</v>
      </c>
      <c r="H349" s="386">
        <v>0</v>
      </c>
      <c r="I349" s="386">
        <v>62093.52</v>
      </c>
      <c r="J349" s="386">
        <v>0</v>
      </c>
      <c r="K349" s="386">
        <v>46570.14</v>
      </c>
      <c r="L349" s="387" t="s">
        <v>393</v>
      </c>
    </row>
    <row r="350" spans="1:12" ht="25.5" hidden="1">
      <c r="A350" s="385" t="s">
        <v>362</v>
      </c>
      <c r="B350" s="385" t="s">
        <v>332</v>
      </c>
      <c r="C350" s="385" t="s">
        <v>539</v>
      </c>
      <c r="D350" s="385" t="s">
        <v>380</v>
      </c>
      <c r="E350" s="385" t="s">
        <v>19</v>
      </c>
      <c r="F350" s="385" t="s">
        <v>392</v>
      </c>
      <c r="G350" s="385" t="s">
        <v>19</v>
      </c>
      <c r="H350" s="386">
        <v>0</v>
      </c>
      <c r="I350" s="386">
        <v>4305</v>
      </c>
      <c r="J350" s="386">
        <v>0</v>
      </c>
      <c r="K350" s="386">
        <v>4305</v>
      </c>
      <c r="L350" s="387" t="s">
        <v>393</v>
      </c>
    </row>
    <row r="351" spans="1:12" ht="25.5" hidden="1">
      <c r="A351" s="385" t="s">
        <v>362</v>
      </c>
      <c r="B351" s="385" t="s">
        <v>332</v>
      </c>
      <c r="C351" s="385" t="s">
        <v>540</v>
      </c>
      <c r="D351" s="385" t="s">
        <v>380</v>
      </c>
      <c r="E351" s="385" t="s">
        <v>19</v>
      </c>
      <c r="F351" s="385" t="s">
        <v>392</v>
      </c>
      <c r="G351" s="385" t="s">
        <v>19</v>
      </c>
      <c r="H351" s="386">
        <v>0</v>
      </c>
      <c r="I351" s="386">
        <v>4000</v>
      </c>
      <c r="J351" s="386">
        <v>0</v>
      </c>
      <c r="K351" s="386">
        <v>3583</v>
      </c>
      <c r="L351" s="387" t="s">
        <v>393</v>
      </c>
    </row>
    <row r="352" spans="1:12" ht="25.5" hidden="1">
      <c r="A352" s="385" t="s">
        <v>362</v>
      </c>
      <c r="B352" s="385" t="s">
        <v>332</v>
      </c>
      <c r="C352" s="385" t="s">
        <v>548</v>
      </c>
      <c r="D352" s="385" t="s">
        <v>380</v>
      </c>
      <c r="E352" s="385" t="s">
        <v>19</v>
      </c>
      <c r="F352" s="385" t="s">
        <v>392</v>
      </c>
      <c r="G352" s="385" t="s">
        <v>19</v>
      </c>
      <c r="H352" s="386">
        <v>0</v>
      </c>
      <c r="I352" s="386">
        <v>2238.8000000000002</v>
      </c>
      <c r="J352" s="386">
        <v>0</v>
      </c>
      <c r="K352" s="386">
        <v>1617.15</v>
      </c>
      <c r="L352" s="387" t="s">
        <v>393</v>
      </c>
    </row>
    <row r="353" spans="1:12" hidden="1">
      <c r="A353" s="385" t="s">
        <v>362</v>
      </c>
      <c r="B353" s="385" t="s">
        <v>420</v>
      </c>
      <c r="C353" s="385" t="s">
        <v>521</v>
      </c>
      <c r="D353" s="385" t="s">
        <v>380</v>
      </c>
      <c r="E353" s="385" t="s">
        <v>19</v>
      </c>
      <c r="F353" s="385" t="s">
        <v>455</v>
      </c>
      <c r="G353" s="385" t="s">
        <v>12</v>
      </c>
      <c r="H353" s="386">
        <v>0</v>
      </c>
      <c r="I353" s="386">
        <v>800</v>
      </c>
      <c r="J353" s="386">
        <v>0</v>
      </c>
      <c r="K353" s="386">
        <v>0</v>
      </c>
      <c r="L353" s="387" t="s">
        <v>456</v>
      </c>
    </row>
    <row r="354" spans="1:12" hidden="1">
      <c r="A354" s="385" t="s">
        <v>362</v>
      </c>
      <c r="B354" s="385" t="s">
        <v>420</v>
      </c>
      <c r="C354" s="385" t="s">
        <v>523</v>
      </c>
      <c r="D354" s="385" t="s">
        <v>380</v>
      </c>
      <c r="E354" s="385" t="s">
        <v>19</v>
      </c>
      <c r="F354" s="385" t="s">
        <v>455</v>
      </c>
      <c r="G354" s="385" t="s">
        <v>12</v>
      </c>
      <c r="H354" s="386">
        <v>0</v>
      </c>
      <c r="I354" s="386">
        <v>336984</v>
      </c>
      <c r="J354" s="386">
        <v>0</v>
      </c>
      <c r="K354" s="386">
        <v>221146.49</v>
      </c>
      <c r="L354" s="387" t="s">
        <v>456</v>
      </c>
    </row>
    <row r="355" spans="1:12" hidden="1">
      <c r="A355" s="385" t="s">
        <v>362</v>
      </c>
      <c r="B355" s="385" t="s">
        <v>420</v>
      </c>
      <c r="C355" s="385" t="s">
        <v>549</v>
      </c>
      <c r="D355" s="385" t="s">
        <v>380</v>
      </c>
      <c r="E355" s="385" t="s">
        <v>19</v>
      </c>
      <c r="F355" s="385" t="s">
        <v>455</v>
      </c>
      <c r="G355" s="385" t="s">
        <v>12</v>
      </c>
      <c r="H355" s="386">
        <v>0</v>
      </c>
      <c r="I355" s="386">
        <v>200000</v>
      </c>
      <c r="J355" s="386">
        <v>0</v>
      </c>
      <c r="K355" s="386">
        <v>115181.66</v>
      </c>
      <c r="L355" s="387" t="s">
        <v>456</v>
      </c>
    </row>
    <row r="356" spans="1:12" hidden="1">
      <c r="A356" s="385" t="s">
        <v>362</v>
      </c>
      <c r="B356" s="385" t="s">
        <v>420</v>
      </c>
      <c r="C356" s="385" t="s">
        <v>524</v>
      </c>
      <c r="D356" s="385" t="s">
        <v>380</v>
      </c>
      <c r="E356" s="385" t="s">
        <v>19</v>
      </c>
      <c r="F356" s="385" t="s">
        <v>455</v>
      </c>
      <c r="G356" s="385" t="s">
        <v>12</v>
      </c>
      <c r="H356" s="386">
        <v>0</v>
      </c>
      <c r="I356" s="386">
        <v>38000</v>
      </c>
      <c r="J356" s="386">
        <v>0</v>
      </c>
      <c r="K356" s="386">
        <v>37407.589999999997</v>
      </c>
      <c r="L356" s="387" t="s">
        <v>456</v>
      </c>
    </row>
    <row r="357" spans="1:12" hidden="1">
      <c r="A357" s="385" t="s">
        <v>362</v>
      </c>
      <c r="B357" s="385" t="s">
        <v>420</v>
      </c>
      <c r="C357" s="385" t="s">
        <v>525</v>
      </c>
      <c r="D357" s="385" t="s">
        <v>380</v>
      </c>
      <c r="E357" s="385" t="s">
        <v>19</v>
      </c>
      <c r="F357" s="385" t="s">
        <v>455</v>
      </c>
      <c r="G357" s="385" t="s">
        <v>12</v>
      </c>
      <c r="H357" s="386">
        <v>0</v>
      </c>
      <c r="I357" s="386">
        <v>102000</v>
      </c>
      <c r="J357" s="386">
        <v>0</v>
      </c>
      <c r="K357" s="386">
        <v>59424.31</v>
      </c>
      <c r="L357" s="387" t="s">
        <v>456</v>
      </c>
    </row>
    <row r="358" spans="1:12" hidden="1">
      <c r="A358" s="385" t="s">
        <v>362</v>
      </c>
      <c r="B358" s="385" t="s">
        <v>420</v>
      </c>
      <c r="C358" s="385" t="s">
        <v>526</v>
      </c>
      <c r="D358" s="385" t="s">
        <v>380</v>
      </c>
      <c r="E358" s="385" t="s">
        <v>19</v>
      </c>
      <c r="F358" s="385" t="s">
        <v>455</v>
      </c>
      <c r="G358" s="385" t="s">
        <v>12</v>
      </c>
      <c r="H358" s="386">
        <v>0</v>
      </c>
      <c r="I358" s="386">
        <v>9261</v>
      </c>
      <c r="J358" s="386">
        <v>0</v>
      </c>
      <c r="K358" s="386">
        <v>5830.16</v>
      </c>
      <c r="L358" s="387" t="s">
        <v>456</v>
      </c>
    </row>
    <row r="359" spans="1:12" hidden="1">
      <c r="A359" s="385" t="s">
        <v>362</v>
      </c>
      <c r="B359" s="385" t="s">
        <v>420</v>
      </c>
      <c r="C359" s="385" t="s">
        <v>527</v>
      </c>
      <c r="D359" s="385" t="s">
        <v>380</v>
      </c>
      <c r="E359" s="385" t="s">
        <v>19</v>
      </c>
      <c r="F359" s="385" t="s">
        <v>455</v>
      </c>
      <c r="G359" s="385" t="s">
        <v>12</v>
      </c>
      <c r="H359" s="386">
        <v>0</v>
      </c>
      <c r="I359" s="386">
        <v>5600</v>
      </c>
      <c r="J359" s="386">
        <v>0</v>
      </c>
      <c r="K359" s="386">
        <v>0</v>
      </c>
      <c r="L359" s="387" t="s">
        <v>456</v>
      </c>
    </row>
    <row r="360" spans="1:12" hidden="1">
      <c r="A360" s="385" t="s">
        <v>362</v>
      </c>
      <c r="B360" s="385" t="s">
        <v>420</v>
      </c>
      <c r="C360" s="385" t="s">
        <v>528</v>
      </c>
      <c r="D360" s="385" t="s">
        <v>380</v>
      </c>
      <c r="E360" s="385" t="s">
        <v>19</v>
      </c>
      <c r="F360" s="385" t="s">
        <v>455</v>
      </c>
      <c r="G360" s="385" t="s">
        <v>12</v>
      </c>
      <c r="H360" s="386">
        <v>0</v>
      </c>
      <c r="I360" s="386">
        <v>31000</v>
      </c>
      <c r="J360" s="386">
        <v>0</v>
      </c>
      <c r="K360" s="386">
        <v>16880.57</v>
      </c>
      <c r="L360" s="387" t="s">
        <v>456</v>
      </c>
    </row>
    <row r="361" spans="1:12" hidden="1">
      <c r="A361" s="385" t="s">
        <v>362</v>
      </c>
      <c r="B361" s="385" t="s">
        <v>420</v>
      </c>
      <c r="C361" s="385" t="s">
        <v>530</v>
      </c>
      <c r="D361" s="385" t="s">
        <v>380</v>
      </c>
      <c r="E361" s="385" t="s">
        <v>19</v>
      </c>
      <c r="F361" s="385" t="s">
        <v>455</v>
      </c>
      <c r="G361" s="385" t="s">
        <v>12</v>
      </c>
      <c r="H361" s="386">
        <v>0</v>
      </c>
      <c r="I361" s="386">
        <v>3416</v>
      </c>
      <c r="J361" s="386">
        <v>0</v>
      </c>
      <c r="K361" s="386">
        <v>2848.14</v>
      </c>
      <c r="L361" s="387" t="s">
        <v>456</v>
      </c>
    </row>
    <row r="362" spans="1:12" hidden="1">
      <c r="A362" s="385" t="s">
        <v>362</v>
      </c>
      <c r="B362" s="385" t="s">
        <v>420</v>
      </c>
      <c r="C362" s="385" t="s">
        <v>531</v>
      </c>
      <c r="D362" s="385" t="s">
        <v>380</v>
      </c>
      <c r="E362" s="385" t="s">
        <v>19</v>
      </c>
      <c r="F362" s="385" t="s">
        <v>455</v>
      </c>
      <c r="G362" s="385" t="s">
        <v>12</v>
      </c>
      <c r="H362" s="386">
        <v>0</v>
      </c>
      <c r="I362" s="386">
        <v>400</v>
      </c>
      <c r="J362" s="386">
        <v>0</v>
      </c>
      <c r="K362" s="386">
        <v>216</v>
      </c>
      <c r="L362" s="387" t="s">
        <v>456</v>
      </c>
    </row>
    <row r="363" spans="1:12" hidden="1">
      <c r="A363" s="385" t="s">
        <v>362</v>
      </c>
      <c r="B363" s="385" t="s">
        <v>420</v>
      </c>
      <c r="C363" s="385" t="s">
        <v>510</v>
      </c>
      <c r="D363" s="385" t="s">
        <v>380</v>
      </c>
      <c r="E363" s="385" t="s">
        <v>19</v>
      </c>
      <c r="F363" s="385" t="s">
        <v>455</v>
      </c>
      <c r="G363" s="385" t="s">
        <v>12</v>
      </c>
      <c r="H363" s="386">
        <v>0</v>
      </c>
      <c r="I363" s="386">
        <v>86000</v>
      </c>
      <c r="J363" s="386">
        <v>0</v>
      </c>
      <c r="K363" s="386">
        <v>42021.48</v>
      </c>
      <c r="L363" s="387" t="s">
        <v>456</v>
      </c>
    </row>
    <row r="364" spans="1:12" hidden="1">
      <c r="A364" s="385" t="s">
        <v>362</v>
      </c>
      <c r="B364" s="385" t="s">
        <v>420</v>
      </c>
      <c r="C364" s="385" t="s">
        <v>532</v>
      </c>
      <c r="D364" s="385" t="s">
        <v>380</v>
      </c>
      <c r="E364" s="385" t="s">
        <v>19</v>
      </c>
      <c r="F364" s="385" t="s">
        <v>455</v>
      </c>
      <c r="G364" s="385" t="s">
        <v>12</v>
      </c>
      <c r="H364" s="386">
        <v>0</v>
      </c>
      <c r="I364" s="386">
        <v>3300</v>
      </c>
      <c r="J364" s="386">
        <v>0</v>
      </c>
      <c r="K364" s="386">
        <v>2116.7199999999998</v>
      </c>
      <c r="L364" s="387" t="s">
        <v>456</v>
      </c>
    </row>
    <row r="365" spans="1:12" hidden="1">
      <c r="A365" s="385" t="s">
        <v>362</v>
      </c>
      <c r="B365" s="385" t="s">
        <v>420</v>
      </c>
      <c r="C365" s="385" t="s">
        <v>534</v>
      </c>
      <c r="D365" s="385" t="s">
        <v>380</v>
      </c>
      <c r="E365" s="385" t="s">
        <v>19</v>
      </c>
      <c r="F365" s="385" t="s">
        <v>455</v>
      </c>
      <c r="G365" s="385" t="s">
        <v>12</v>
      </c>
      <c r="H365" s="386">
        <v>0</v>
      </c>
      <c r="I365" s="386">
        <v>2000</v>
      </c>
      <c r="J365" s="386">
        <v>0</v>
      </c>
      <c r="K365" s="386">
        <v>1701</v>
      </c>
      <c r="L365" s="387" t="s">
        <v>456</v>
      </c>
    </row>
    <row r="366" spans="1:12" hidden="1">
      <c r="A366" s="385" t="s">
        <v>362</v>
      </c>
      <c r="B366" s="385" t="s">
        <v>420</v>
      </c>
      <c r="C366" s="385" t="s">
        <v>535</v>
      </c>
      <c r="D366" s="385" t="s">
        <v>380</v>
      </c>
      <c r="E366" s="385" t="s">
        <v>19</v>
      </c>
      <c r="F366" s="385" t="s">
        <v>455</v>
      </c>
      <c r="G366" s="385" t="s">
        <v>12</v>
      </c>
      <c r="H366" s="386">
        <v>0</v>
      </c>
      <c r="I366" s="386">
        <v>16115</v>
      </c>
      <c r="J366" s="386">
        <v>0</v>
      </c>
      <c r="K366" s="386">
        <v>11580</v>
      </c>
      <c r="L366" s="387" t="s">
        <v>456</v>
      </c>
    </row>
    <row r="367" spans="1:12" hidden="1">
      <c r="A367" s="385" t="s">
        <v>362</v>
      </c>
      <c r="B367" s="385" t="s">
        <v>420</v>
      </c>
      <c r="C367" s="385" t="s">
        <v>546</v>
      </c>
      <c r="D367" s="385" t="s">
        <v>380</v>
      </c>
      <c r="E367" s="385" t="s">
        <v>19</v>
      </c>
      <c r="F367" s="385" t="s">
        <v>455</v>
      </c>
      <c r="G367" s="385" t="s">
        <v>12</v>
      </c>
      <c r="H367" s="386">
        <v>0</v>
      </c>
      <c r="I367" s="386">
        <v>0</v>
      </c>
      <c r="J367" s="386">
        <v>0</v>
      </c>
      <c r="K367" s="386">
        <v>0</v>
      </c>
      <c r="L367" s="387" t="s">
        <v>456</v>
      </c>
    </row>
    <row r="368" spans="1:12" hidden="1">
      <c r="A368" s="385" t="s">
        <v>362</v>
      </c>
      <c r="B368" s="385" t="s">
        <v>420</v>
      </c>
      <c r="C368" s="385" t="s">
        <v>547</v>
      </c>
      <c r="D368" s="385" t="s">
        <v>380</v>
      </c>
      <c r="E368" s="385" t="s">
        <v>19</v>
      </c>
      <c r="F368" s="385" t="s">
        <v>455</v>
      </c>
      <c r="G368" s="385" t="s">
        <v>12</v>
      </c>
      <c r="H368" s="386">
        <v>0</v>
      </c>
      <c r="I368" s="386">
        <v>124</v>
      </c>
      <c r="J368" s="386">
        <v>0</v>
      </c>
      <c r="K368" s="386">
        <v>44.31</v>
      </c>
      <c r="L368" s="387" t="s">
        <v>456</v>
      </c>
    </row>
    <row r="369" spans="1:12" hidden="1">
      <c r="A369" s="385" t="s">
        <v>362</v>
      </c>
      <c r="B369" s="385" t="s">
        <v>420</v>
      </c>
      <c r="C369" s="385" t="s">
        <v>539</v>
      </c>
      <c r="D369" s="385" t="s">
        <v>380</v>
      </c>
      <c r="E369" s="385" t="s">
        <v>19</v>
      </c>
      <c r="F369" s="385" t="s">
        <v>455</v>
      </c>
      <c r="G369" s="385" t="s">
        <v>12</v>
      </c>
      <c r="H369" s="386">
        <v>0</v>
      </c>
      <c r="I369" s="386">
        <v>0</v>
      </c>
      <c r="J369" s="386">
        <v>0</v>
      </c>
      <c r="K369" s="386">
        <v>0</v>
      </c>
      <c r="L369" s="387" t="s">
        <v>456</v>
      </c>
    </row>
    <row r="370" spans="1:12" hidden="1">
      <c r="A370" s="385" t="s">
        <v>362</v>
      </c>
      <c r="B370" s="385" t="s">
        <v>420</v>
      </c>
      <c r="C370" s="385" t="s">
        <v>542</v>
      </c>
      <c r="D370" s="385" t="s">
        <v>380</v>
      </c>
      <c r="E370" s="385" t="s">
        <v>19</v>
      </c>
      <c r="F370" s="385" t="s">
        <v>455</v>
      </c>
      <c r="G370" s="385" t="s">
        <v>12</v>
      </c>
      <c r="H370" s="386">
        <v>0</v>
      </c>
      <c r="I370" s="386">
        <v>0</v>
      </c>
      <c r="J370" s="386">
        <v>0</v>
      </c>
      <c r="K370" s="386">
        <v>0</v>
      </c>
      <c r="L370" s="387" t="s">
        <v>456</v>
      </c>
    </row>
    <row r="371" spans="1:12" ht="51" hidden="1">
      <c r="A371" s="385" t="s">
        <v>362</v>
      </c>
      <c r="B371" s="385" t="s">
        <v>336</v>
      </c>
      <c r="C371" s="385" t="s">
        <v>550</v>
      </c>
      <c r="D371" s="385" t="s">
        <v>380</v>
      </c>
      <c r="E371" s="385" t="s">
        <v>19</v>
      </c>
      <c r="F371" s="385" t="s">
        <v>421</v>
      </c>
      <c r="G371" s="385" t="s">
        <v>19</v>
      </c>
      <c r="H371" s="386">
        <v>0</v>
      </c>
      <c r="I371" s="386">
        <v>0</v>
      </c>
      <c r="J371" s="386">
        <v>0</v>
      </c>
      <c r="K371" s="386">
        <v>0</v>
      </c>
      <c r="L371" s="387" t="s">
        <v>53</v>
      </c>
    </row>
    <row r="372" spans="1:12" ht="25.5" hidden="1">
      <c r="A372" s="385" t="s">
        <v>362</v>
      </c>
      <c r="B372" s="385" t="s">
        <v>336</v>
      </c>
      <c r="C372" s="385" t="s">
        <v>510</v>
      </c>
      <c r="D372" s="385" t="s">
        <v>380</v>
      </c>
      <c r="E372" s="385" t="s">
        <v>19</v>
      </c>
      <c r="F372" s="385" t="s">
        <v>392</v>
      </c>
      <c r="G372" s="385" t="s">
        <v>19</v>
      </c>
      <c r="H372" s="386">
        <v>0</v>
      </c>
      <c r="I372" s="386">
        <v>6000</v>
      </c>
      <c r="J372" s="386">
        <v>0</v>
      </c>
      <c r="K372" s="386">
        <v>0</v>
      </c>
      <c r="L372" s="387" t="s">
        <v>393</v>
      </c>
    </row>
    <row r="373" spans="1:12" ht="51" hidden="1">
      <c r="A373" s="385" t="s">
        <v>362</v>
      </c>
      <c r="B373" s="385" t="s">
        <v>336</v>
      </c>
      <c r="C373" s="385" t="s">
        <v>551</v>
      </c>
      <c r="D373" s="385" t="s">
        <v>380</v>
      </c>
      <c r="E373" s="385" t="s">
        <v>19</v>
      </c>
      <c r="F373" s="385" t="s">
        <v>421</v>
      </c>
      <c r="G373" s="385" t="s">
        <v>19</v>
      </c>
      <c r="H373" s="386">
        <v>0</v>
      </c>
      <c r="I373" s="386">
        <v>47625</v>
      </c>
      <c r="J373" s="386">
        <v>0</v>
      </c>
      <c r="K373" s="386">
        <v>0</v>
      </c>
      <c r="L373" s="387" t="s">
        <v>53</v>
      </c>
    </row>
    <row r="374" spans="1:12" ht="51" hidden="1">
      <c r="A374" s="385" t="s">
        <v>362</v>
      </c>
      <c r="B374" s="385" t="s">
        <v>336</v>
      </c>
      <c r="C374" s="385" t="s">
        <v>552</v>
      </c>
      <c r="D374" s="385" t="s">
        <v>380</v>
      </c>
      <c r="E374" s="385" t="s">
        <v>19</v>
      </c>
      <c r="F374" s="385" t="s">
        <v>421</v>
      </c>
      <c r="G374" s="385" t="s">
        <v>19</v>
      </c>
      <c r="H374" s="386">
        <v>0</v>
      </c>
      <c r="I374" s="386">
        <v>0</v>
      </c>
      <c r="J374" s="386">
        <v>0</v>
      </c>
      <c r="K374" s="386">
        <v>0</v>
      </c>
      <c r="L374" s="387" t="s">
        <v>53</v>
      </c>
    </row>
    <row r="375" spans="1:12" ht="25.5" hidden="1">
      <c r="A375" s="385" t="s">
        <v>362</v>
      </c>
      <c r="B375" s="385" t="s">
        <v>336</v>
      </c>
      <c r="C375" s="385" t="s">
        <v>539</v>
      </c>
      <c r="D375" s="385" t="s">
        <v>380</v>
      </c>
      <c r="E375" s="385" t="s">
        <v>19</v>
      </c>
      <c r="F375" s="385" t="s">
        <v>392</v>
      </c>
      <c r="G375" s="385" t="s">
        <v>19</v>
      </c>
      <c r="H375" s="386">
        <v>0</v>
      </c>
      <c r="I375" s="386">
        <v>15682</v>
      </c>
      <c r="J375" s="386">
        <v>0</v>
      </c>
      <c r="K375" s="386">
        <v>15682</v>
      </c>
      <c r="L375" s="387" t="s">
        <v>393</v>
      </c>
    </row>
    <row r="376" spans="1:12" ht="51" hidden="1">
      <c r="A376" s="385" t="s">
        <v>362</v>
      </c>
      <c r="B376" s="385" t="s">
        <v>336</v>
      </c>
      <c r="C376" s="385" t="s">
        <v>754</v>
      </c>
      <c r="D376" s="385" t="s">
        <v>380</v>
      </c>
      <c r="E376" s="385" t="s">
        <v>19</v>
      </c>
      <c r="F376" s="385" t="s">
        <v>421</v>
      </c>
      <c r="G376" s="385" t="s">
        <v>19</v>
      </c>
      <c r="H376" s="386">
        <v>0</v>
      </c>
      <c r="I376" s="386">
        <v>134685</v>
      </c>
      <c r="J376" s="386">
        <v>0</v>
      </c>
      <c r="K376" s="386">
        <v>0</v>
      </c>
      <c r="L376" s="387" t="s">
        <v>53</v>
      </c>
    </row>
    <row r="377" spans="1:12" ht="25.5" hidden="1">
      <c r="A377" s="385" t="s">
        <v>424</v>
      </c>
      <c r="B377" s="385" t="s">
        <v>425</v>
      </c>
      <c r="C377" s="385" t="s">
        <v>521</v>
      </c>
      <c r="D377" s="385" t="s">
        <v>380</v>
      </c>
      <c r="E377" s="385" t="s">
        <v>19</v>
      </c>
      <c r="F377" s="385" t="s">
        <v>392</v>
      </c>
      <c r="G377" s="385" t="s">
        <v>19</v>
      </c>
      <c r="H377" s="386">
        <v>0</v>
      </c>
      <c r="I377" s="386">
        <v>1500</v>
      </c>
      <c r="J377" s="386">
        <v>0</v>
      </c>
      <c r="K377" s="386">
        <v>500</v>
      </c>
      <c r="L377" s="387" t="s">
        <v>393</v>
      </c>
    </row>
    <row r="378" spans="1:12" ht="25.5" hidden="1">
      <c r="A378" s="385" t="s">
        <v>424</v>
      </c>
      <c r="B378" s="385" t="s">
        <v>425</v>
      </c>
      <c r="C378" s="385" t="s">
        <v>523</v>
      </c>
      <c r="D378" s="385" t="s">
        <v>380</v>
      </c>
      <c r="E378" s="385" t="s">
        <v>19</v>
      </c>
      <c r="F378" s="385" t="s">
        <v>392</v>
      </c>
      <c r="G378" s="385" t="s">
        <v>19</v>
      </c>
      <c r="H378" s="386">
        <v>0</v>
      </c>
      <c r="I378" s="386">
        <v>815661.16</v>
      </c>
      <c r="J378" s="386">
        <v>0</v>
      </c>
      <c r="K378" s="386">
        <v>366705.25</v>
      </c>
      <c r="L378" s="387" t="s">
        <v>393</v>
      </c>
    </row>
    <row r="379" spans="1:12" ht="25.5" hidden="1">
      <c r="A379" s="385" t="s">
        <v>424</v>
      </c>
      <c r="B379" s="385" t="s">
        <v>425</v>
      </c>
      <c r="C379" s="385" t="s">
        <v>523</v>
      </c>
      <c r="D379" s="385" t="s">
        <v>380</v>
      </c>
      <c r="E379" s="385" t="s">
        <v>19</v>
      </c>
      <c r="F379" s="385" t="s">
        <v>392</v>
      </c>
      <c r="G379" s="385" t="s">
        <v>12</v>
      </c>
      <c r="H379" s="386">
        <v>0</v>
      </c>
      <c r="I379" s="386">
        <v>102900</v>
      </c>
      <c r="J379" s="386">
        <v>0</v>
      </c>
      <c r="K379" s="386">
        <v>71235</v>
      </c>
      <c r="L379" s="387" t="s">
        <v>393</v>
      </c>
    </row>
    <row r="380" spans="1:12" ht="25.5" hidden="1">
      <c r="A380" s="385" t="s">
        <v>424</v>
      </c>
      <c r="B380" s="385" t="s">
        <v>425</v>
      </c>
      <c r="C380" s="385" t="s">
        <v>524</v>
      </c>
      <c r="D380" s="385" t="s">
        <v>380</v>
      </c>
      <c r="E380" s="385" t="s">
        <v>19</v>
      </c>
      <c r="F380" s="385" t="s">
        <v>392</v>
      </c>
      <c r="G380" s="385" t="s">
        <v>19</v>
      </c>
      <c r="H380" s="386">
        <v>0</v>
      </c>
      <c r="I380" s="386">
        <v>55937</v>
      </c>
      <c r="J380" s="386">
        <v>0</v>
      </c>
      <c r="K380" s="386">
        <v>48523.77</v>
      </c>
      <c r="L380" s="387" t="s">
        <v>393</v>
      </c>
    </row>
    <row r="381" spans="1:12" ht="25.5" hidden="1">
      <c r="A381" s="385" t="s">
        <v>424</v>
      </c>
      <c r="B381" s="385" t="s">
        <v>425</v>
      </c>
      <c r="C381" s="385" t="s">
        <v>525</v>
      </c>
      <c r="D381" s="385" t="s">
        <v>380</v>
      </c>
      <c r="E381" s="385" t="s">
        <v>19</v>
      </c>
      <c r="F381" s="385" t="s">
        <v>392</v>
      </c>
      <c r="G381" s="385" t="s">
        <v>19</v>
      </c>
      <c r="H381" s="386">
        <v>0</v>
      </c>
      <c r="I381" s="386">
        <v>155510</v>
      </c>
      <c r="J381" s="386">
        <v>0</v>
      </c>
      <c r="K381" s="386">
        <v>73176.72</v>
      </c>
      <c r="L381" s="387" t="s">
        <v>393</v>
      </c>
    </row>
    <row r="382" spans="1:12" ht="25.5" hidden="1">
      <c r="A382" s="385" t="s">
        <v>424</v>
      </c>
      <c r="B382" s="385" t="s">
        <v>425</v>
      </c>
      <c r="C382" s="385" t="s">
        <v>526</v>
      </c>
      <c r="D382" s="385" t="s">
        <v>380</v>
      </c>
      <c r="E382" s="385" t="s">
        <v>19</v>
      </c>
      <c r="F382" s="385" t="s">
        <v>392</v>
      </c>
      <c r="G382" s="385" t="s">
        <v>19</v>
      </c>
      <c r="H382" s="386">
        <v>0</v>
      </c>
      <c r="I382" s="386">
        <v>22504</v>
      </c>
      <c r="J382" s="386">
        <v>0</v>
      </c>
      <c r="K382" s="386">
        <v>8837.5300000000007</v>
      </c>
      <c r="L382" s="387" t="s">
        <v>393</v>
      </c>
    </row>
    <row r="383" spans="1:12" ht="25.5" hidden="1">
      <c r="A383" s="385" t="s">
        <v>424</v>
      </c>
      <c r="B383" s="385" t="s">
        <v>425</v>
      </c>
      <c r="C383" s="385" t="s">
        <v>531</v>
      </c>
      <c r="D383" s="385" t="s">
        <v>380</v>
      </c>
      <c r="E383" s="385" t="s">
        <v>19</v>
      </c>
      <c r="F383" s="385" t="s">
        <v>392</v>
      </c>
      <c r="G383" s="385" t="s">
        <v>19</v>
      </c>
      <c r="H383" s="386">
        <v>0</v>
      </c>
      <c r="I383" s="386">
        <v>525</v>
      </c>
      <c r="J383" s="386">
        <v>0</v>
      </c>
      <c r="K383" s="386">
        <v>170</v>
      </c>
      <c r="L383" s="387" t="s">
        <v>393</v>
      </c>
    </row>
    <row r="384" spans="1:12" ht="25.5" hidden="1">
      <c r="A384" s="385" t="s">
        <v>424</v>
      </c>
      <c r="B384" s="385" t="s">
        <v>425</v>
      </c>
      <c r="C384" s="385" t="s">
        <v>535</v>
      </c>
      <c r="D384" s="385" t="s">
        <v>380</v>
      </c>
      <c r="E384" s="385" t="s">
        <v>19</v>
      </c>
      <c r="F384" s="385" t="s">
        <v>392</v>
      </c>
      <c r="G384" s="385" t="s">
        <v>19</v>
      </c>
      <c r="H384" s="386">
        <v>0</v>
      </c>
      <c r="I384" s="386">
        <v>26326.2</v>
      </c>
      <c r="J384" s="386">
        <v>0</v>
      </c>
      <c r="K384" s="386">
        <v>19744.650000000001</v>
      </c>
      <c r="L384" s="387" t="s">
        <v>393</v>
      </c>
    </row>
    <row r="385" spans="1:12" ht="25.5" hidden="1">
      <c r="A385" s="385" t="s">
        <v>424</v>
      </c>
      <c r="B385" s="385" t="s">
        <v>553</v>
      </c>
      <c r="C385" s="385" t="s">
        <v>521</v>
      </c>
      <c r="D385" s="385" t="s">
        <v>380</v>
      </c>
      <c r="E385" s="385" t="s">
        <v>19</v>
      </c>
      <c r="F385" s="385" t="s">
        <v>392</v>
      </c>
      <c r="G385" s="385" t="s">
        <v>19</v>
      </c>
      <c r="H385" s="386">
        <v>0</v>
      </c>
      <c r="I385" s="386">
        <v>500</v>
      </c>
      <c r="J385" s="386">
        <v>0</v>
      </c>
      <c r="K385" s="386">
        <v>0</v>
      </c>
      <c r="L385" s="387" t="s">
        <v>393</v>
      </c>
    </row>
    <row r="386" spans="1:12" ht="25.5" hidden="1">
      <c r="A386" s="385" t="s">
        <v>424</v>
      </c>
      <c r="B386" s="385" t="s">
        <v>553</v>
      </c>
      <c r="C386" s="385" t="s">
        <v>515</v>
      </c>
      <c r="D386" s="385" t="s">
        <v>380</v>
      </c>
      <c r="E386" s="385" t="s">
        <v>19</v>
      </c>
      <c r="F386" s="385" t="s">
        <v>392</v>
      </c>
      <c r="G386" s="385" t="s">
        <v>19</v>
      </c>
      <c r="H386" s="386">
        <v>0</v>
      </c>
      <c r="I386" s="386">
        <v>544844</v>
      </c>
      <c r="J386" s="386">
        <v>0</v>
      </c>
      <c r="K386" s="386">
        <v>326933.53000000003</v>
      </c>
      <c r="L386" s="387" t="s">
        <v>393</v>
      </c>
    </row>
    <row r="387" spans="1:12" ht="25.5" hidden="1">
      <c r="A387" s="385" t="s">
        <v>424</v>
      </c>
      <c r="B387" s="385" t="s">
        <v>553</v>
      </c>
      <c r="C387" s="385" t="s">
        <v>523</v>
      </c>
      <c r="D387" s="385" t="s">
        <v>380</v>
      </c>
      <c r="E387" s="385" t="s">
        <v>19</v>
      </c>
      <c r="F387" s="385" t="s">
        <v>392</v>
      </c>
      <c r="G387" s="385" t="s">
        <v>19</v>
      </c>
      <c r="H387" s="386">
        <v>0</v>
      </c>
      <c r="I387" s="386">
        <v>105950.32</v>
      </c>
      <c r="J387" s="386">
        <v>0</v>
      </c>
      <c r="K387" s="386">
        <v>75837.279999999999</v>
      </c>
      <c r="L387" s="387" t="s">
        <v>393</v>
      </c>
    </row>
    <row r="388" spans="1:12" ht="25.5" hidden="1">
      <c r="A388" s="385" t="s">
        <v>424</v>
      </c>
      <c r="B388" s="385" t="s">
        <v>553</v>
      </c>
      <c r="C388" s="385" t="s">
        <v>524</v>
      </c>
      <c r="D388" s="385" t="s">
        <v>380</v>
      </c>
      <c r="E388" s="385" t="s">
        <v>19</v>
      </c>
      <c r="F388" s="385" t="s">
        <v>392</v>
      </c>
      <c r="G388" s="385" t="s">
        <v>19</v>
      </c>
      <c r="H388" s="386">
        <v>0</v>
      </c>
      <c r="I388" s="386">
        <v>7555.29</v>
      </c>
      <c r="J388" s="386">
        <v>0</v>
      </c>
      <c r="K388" s="386">
        <v>7346.67</v>
      </c>
      <c r="L388" s="387" t="s">
        <v>393</v>
      </c>
    </row>
    <row r="389" spans="1:12" ht="25.5" hidden="1">
      <c r="A389" s="385" t="s">
        <v>424</v>
      </c>
      <c r="B389" s="385" t="s">
        <v>553</v>
      </c>
      <c r="C389" s="385" t="s">
        <v>525</v>
      </c>
      <c r="D389" s="385" t="s">
        <v>380</v>
      </c>
      <c r="E389" s="385" t="s">
        <v>19</v>
      </c>
      <c r="F389" s="385" t="s">
        <v>392</v>
      </c>
      <c r="G389" s="385" t="s">
        <v>19</v>
      </c>
      <c r="H389" s="386">
        <v>0</v>
      </c>
      <c r="I389" s="386">
        <v>13785.91</v>
      </c>
      <c r="J389" s="386">
        <v>0</v>
      </c>
      <c r="K389" s="386">
        <v>9888.24</v>
      </c>
      <c r="L389" s="387" t="s">
        <v>393</v>
      </c>
    </row>
    <row r="390" spans="1:12" ht="25.5" hidden="1">
      <c r="A390" s="385" t="s">
        <v>424</v>
      </c>
      <c r="B390" s="385" t="s">
        <v>553</v>
      </c>
      <c r="C390" s="385" t="s">
        <v>526</v>
      </c>
      <c r="D390" s="385" t="s">
        <v>380</v>
      </c>
      <c r="E390" s="385" t="s">
        <v>19</v>
      </c>
      <c r="F390" s="385" t="s">
        <v>392</v>
      </c>
      <c r="G390" s="385" t="s">
        <v>19</v>
      </c>
      <c r="H390" s="386">
        <v>0</v>
      </c>
      <c r="I390" s="386">
        <v>2224.96</v>
      </c>
      <c r="J390" s="386">
        <v>0</v>
      </c>
      <c r="K390" s="386">
        <v>1430.96</v>
      </c>
      <c r="L390" s="387" t="s">
        <v>393</v>
      </c>
    </row>
    <row r="391" spans="1:12" ht="25.5" hidden="1">
      <c r="A391" s="385" t="s">
        <v>424</v>
      </c>
      <c r="B391" s="385" t="s">
        <v>553</v>
      </c>
      <c r="C391" s="385" t="s">
        <v>528</v>
      </c>
      <c r="D391" s="385" t="s">
        <v>380</v>
      </c>
      <c r="E391" s="385" t="s">
        <v>19</v>
      </c>
      <c r="F391" s="385" t="s">
        <v>392</v>
      </c>
      <c r="G391" s="385" t="s">
        <v>19</v>
      </c>
      <c r="H391" s="386">
        <v>0</v>
      </c>
      <c r="I391" s="386">
        <v>6700</v>
      </c>
      <c r="J391" s="386">
        <v>0</v>
      </c>
      <c r="K391" s="386">
        <v>423.92</v>
      </c>
      <c r="L391" s="387" t="s">
        <v>393</v>
      </c>
    </row>
    <row r="392" spans="1:12" ht="25.5" hidden="1">
      <c r="A392" s="385" t="s">
        <v>424</v>
      </c>
      <c r="B392" s="385" t="s">
        <v>553</v>
      </c>
      <c r="C392" s="385" t="s">
        <v>529</v>
      </c>
      <c r="D392" s="385" t="s">
        <v>380</v>
      </c>
      <c r="E392" s="385" t="s">
        <v>19</v>
      </c>
      <c r="F392" s="385" t="s">
        <v>392</v>
      </c>
      <c r="G392" s="385" t="s">
        <v>19</v>
      </c>
      <c r="H392" s="386">
        <v>0</v>
      </c>
      <c r="I392" s="386">
        <v>2800</v>
      </c>
      <c r="J392" s="386">
        <v>0</v>
      </c>
      <c r="K392" s="386">
        <v>1158.28</v>
      </c>
      <c r="L392" s="387" t="s">
        <v>393</v>
      </c>
    </row>
    <row r="393" spans="1:12" ht="25.5" hidden="1">
      <c r="A393" s="385" t="s">
        <v>424</v>
      </c>
      <c r="B393" s="385" t="s">
        <v>553</v>
      </c>
      <c r="C393" s="385" t="s">
        <v>510</v>
      </c>
      <c r="D393" s="385" t="s">
        <v>380</v>
      </c>
      <c r="E393" s="385" t="s">
        <v>19</v>
      </c>
      <c r="F393" s="385" t="s">
        <v>392</v>
      </c>
      <c r="G393" s="385" t="s">
        <v>19</v>
      </c>
      <c r="H393" s="386">
        <v>0</v>
      </c>
      <c r="I393" s="386">
        <v>35193.74</v>
      </c>
      <c r="J393" s="386">
        <v>0</v>
      </c>
      <c r="K393" s="386">
        <v>12275.38</v>
      </c>
      <c r="L393" s="387" t="s">
        <v>393</v>
      </c>
    </row>
    <row r="394" spans="1:12" ht="25.5" hidden="1">
      <c r="A394" s="385" t="s">
        <v>424</v>
      </c>
      <c r="B394" s="385" t="s">
        <v>553</v>
      </c>
      <c r="C394" s="385" t="s">
        <v>532</v>
      </c>
      <c r="D394" s="385" t="s">
        <v>380</v>
      </c>
      <c r="E394" s="385" t="s">
        <v>19</v>
      </c>
      <c r="F394" s="385" t="s">
        <v>392</v>
      </c>
      <c r="G394" s="385" t="s">
        <v>19</v>
      </c>
      <c r="H394" s="386">
        <v>0</v>
      </c>
      <c r="I394" s="386">
        <v>200</v>
      </c>
      <c r="J394" s="386">
        <v>0</v>
      </c>
      <c r="K394" s="386">
        <v>42.82</v>
      </c>
      <c r="L394" s="387" t="s">
        <v>393</v>
      </c>
    </row>
    <row r="395" spans="1:12" ht="25.5" hidden="1">
      <c r="A395" s="385" t="s">
        <v>424</v>
      </c>
      <c r="B395" s="385" t="s">
        <v>553</v>
      </c>
      <c r="C395" s="385" t="s">
        <v>533</v>
      </c>
      <c r="D395" s="385" t="s">
        <v>380</v>
      </c>
      <c r="E395" s="385" t="s">
        <v>19</v>
      </c>
      <c r="F395" s="385" t="s">
        <v>392</v>
      </c>
      <c r="G395" s="385" t="s">
        <v>19</v>
      </c>
      <c r="H395" s="386">
        <v>0</v>
      </c>
      <c r="I395" s="386">
        <v>0</v>
      </c>
      <c r="J395" s="386">
        <v>0</v>
      </c>
      <c r="K395" s="386">
        <v>0</v>
      </c>
      <c r="L395" s="387" t="s">
        <v>393</v>
      </c>
    </row>
    <row r="396" spans="1:12" ht="25.5" hidden="1">
      <c r="A396" s="385" t="s">
        <v>424</v>
      </c>
      <c r="B396" s="385" t="s">
        <v>553</v>
      </c>
      <c r="C396" s="385" t="s">
        <v>535</v>
      </c>
      <c r="D396" s="385" t="s">
        <v>380</v>
      </c>
      <c r="E396" s="385" t="s">
        <v>19</v>
      </c>
      <c r="F396" s="385" t="s">
        <v>392</v>
      </c>
      <c r="G396" s="385" t="s">
        <v>19</v>
      </c>
      <c r="H396" s="386">
        <v>0</v>
      </c>
      <c r="I396" s="386">
        <v>2723.4</v>
      </c>
      <c r="J396" s="386">
        <v>0</v>
      </c>
      <c r="K396" s="386">
        <v>2042.55</v>
      </c>
      <c r="L396" s="387" t="s">
        <v>393</v>
      </c>
    </row>
    <row r="397" spans="1:12" ht="25.5" hidden="1">
      <c r="A397" s="385" t="s">
        <v>424</v>
      </c>
      <c r="B397" s="385" t="s">
        <v>553</v>
      </c>
      <c r="C397" s="385" t="s">
        <v>548</v>
      </c>
      <c r="D397" s="385" t="s">
        <v>380</v>
      </c>
      <c r="E397" s="385" t="s">
        <v>19</v>
      </c>
      <c r="F397" s="385" t="s">
        <v>392</v>
      </c>
      <c r="G397" s="385" t="s">
        <v>19</v>
      </c>
      <c r="H397" s="386">
        <v>0</v>
      </c>
      <c r="I397" s="386">
        <v>1589</v>
      </c>
      <c r="J397" s="386">
        <v>0</v>
      </c>
      <c r="K397" s="386">
        <v>975.41</v>
      </c>
      <c r="L397" s="387" t="s">
        <v>393</v>
      </c>
    </row>
    <row r="398" spans="1:12" ht="25.5" hidden="1">
      <c r="A398" s="385" t="s">
        <v>424</v>
      </c>
      <c r="B398" s="385" t="s">
        <v>426</v>
      </c>
      <c r="C398" s="385" t="s">
        <v>521</v>
      </c>
      <c r="D398" s="385" t="s">
        <v>380</v>
      </c>
      <c r="E398" s="385" t="s">
        <v>19</v>
      </c>
      <c r="F398" s="385" t="s">
        <v>392</v>
      </c>
      <c r="G398" s="385" t="s">
        <v>19</v>
      </c>
      <c r="H398" s="386">
        <v>0</v>
      </c>
      <c r="I398" s="386">
        <v>21236</v>
      </c>
      <c r="J398" s="386">
        <v>0</v>
      </c>
      <c r="K398" s="386">
        <v>5490.75</v>
      </c>
      <c r="L398" s="387" t="s">
        <v>393</v>
      </c>
    </row>
    <row r="399" spans="1:12" hidden="1">
      <c r="A399" s="385" t="s">
        <v>424</v>
      </c>
      <c r="B399" s="385" t="s">
        <v>426</v>
      </c>
      <c r="C399" s="385" t="s">
        <v>523</v>
      </c>
      <c r="D399" s="385" t="s">
        <v>380</v>
      </c>
      <c r="E399" s="385" t="s">
        <v>19</v>
      </c>
      <c r="F399" s="385" t="s">
        <v>386</v>
      </c>
      <c r="G399" s="385" t="s">
        <v>19</v>
      </c>
      <c r="H399" s="386">
        <v>0</v>
      </c>
      <c r="I399" s="386">
        <v>72500.009999999995</v>
      </c>
      <c r="J399" s="386">
        <v>0</v>
      </c>
      <c r="K399" s="386">
        <v>0</v>
      </c>
      <c r="L399" s="387" t="s">
        <v>387</v>
      </c>
    </row>
    <row r="400" spans="1:12" ht="25.5" hidden="1">
      <c r="A400" s="385" t="s">
        <v>424</v>
      </c>
      <c r="B400" s="385" t="s">
        <v>426</v>
      </c>
      <c r="C400" s="385" t="s">
        <v>523</v>
      </c>
      <c r="D400" s="385" t="s">
        <v>380</v>
      </c>
      <c r="E400" s="385" t="s">
        <v>19</v>
      </c>
      <c r="F400" s="385" t="s">
        <v>392</v>
      </c>
      <c r="G400" s="385" t="s">
        <v>19</v>
      </c>
      <c r="H400" s="386">
        <v>0</v>
      </c>
      <c r="I400" s="386">
        <v>7190000</v>
      </c>
      <c r="J400" s="386">
        <v>0</v>
      </c>
      <c r="K400" s="386">
        <v>4404410.8600000003</v>
      </c>
      <c r="L400" s="387" t="s">
        <v>393</v>
      </c>
    </row>
    <row r="401" spans="1:12" ht="25.5" hidden="1">
      <c r="A401" s="385" t="s">
        <v>424</v>
      </c>
      <c r="B401" s="385" t="s">
        <v>426</v>
      </c>
      <c r="C401" s="385" t="s">
        <v>524</v>
      </c>
      <c r="D401" s="385" t="s">
        <v>380</v>
      </c>
      <c r="E401" s="385" t="s">
        <v>19</v>
      </c>
      <c r="F401" s="385" t="s">
        <v>392</v>
      </c>
      <c r="G401" s="385" t="s">
        <v>19</v>
      </c>
      <c r="H401" s="386">
        <v>0</v>
      </c>
      <c r="I401" s="386">
        <v>504049</v>
      </c>
      <c r="J401" s="386">
        <v>0</v>
      </c>
      <c r="K401" s="386">
        <v>487473.79</v>
      </c>
      <c r="L401" s="387" t="s">
        <v>393</v>
      </c>
    </row>
    <row r="402" spans="1:12" ht="25.5" hidden="1">
      <c r="A402" s="385" t="s">
        <v>424</v>
      </c>
      <c r="B402" s="385" t="s">
        <v>426</v>
      </c>
      <c r="C402" s="385" t="s">
        <v>525</v>
      </c>
      <c r="D402" s="385" t="s">
        <v>380</v>
      </c>
      <c r="E402" s="385" t="s">
        <v>19</v>
      </c>
      <c r="F402" s="385" t="s">
        <v>392</v>
      </c>
      <c r="G402" s="385" t="s">
        <v>19</v>
      </c>
      <c r="H402" s="386">
        <v>0</v>
      </c>
      <c r="I402" s="386">
        <v>1208915.6299999999</v>
      </c>
      <c r="J402" s="386">
        <v>0</v>
      </c>
      <c r="K402" s="386">
        <v>723023.15</v>
      </c>
      <c r="L402" s="387" t="s">
        <v>393</v>
      </c>
    </row>
    <row r="403" spans="1:12" ht="25.5" hidden="1">
      <c r="A403" s="385" t="s">
        <v>424</v>
      </c>
      <c r="B403" s="385" t="s">
        <v>426</v>
      </c>
      <c r="C403" s="385" t="s">
        <v>526</v>
      </c>
      <c r="D403" s="385" t="s">
        <v>380</v>
      </c>
      <c r="E403" s="385" t="s">
        <v>19</v>
      </c>
      <c r="F403" s="385" t="s">
        <v>392</v>
      </c>
      <c r="G403" s="385" t="s">
        <v>19</v>
      </c>
      <c r="H403" s="386">
        <v>0</v>
      </c>
      <c r="I403" s="386">
        <v>175000</v>
      </c>
      <c r="J403" s="386">
        <v>0</v>
      </c>
      <c r="K403" s="386">
        <v>75723.34</v>
      </c>
      <c r="L403" s="387" t="s">
        <v>393</v>
      </c>
    </row>
    <row r="404" spans="1:12" ht="25.5" hidden="1">
      <c r="A404" s="385" t="s">
        <v>424</v>
      </c>
      <c r="B404" s="385" t="s">
        <v>426</v>
      </c>
      <c r="C404" s="385" t="s">
        <v>554</v>
      </c>
      <c r="D404" s="385" t="s">
        <v>380</v>
      </c>
      <c r="E404" s="385" t="s">
        <v>19</v>
      </c>
      <c r="F404" s="385" t="s">
        <v>392</v>
      </c>
      <c r="G404" s="385" t="s">
        <v>19</v>
      </c>
      <c r="H404" s="386">
        <v>0</v>
      </c>
      <c r="I404" s="386">
        <v>102000</v>
      </c>
      <c r="J404" s="386">
        <v>0</v>
      </c>
      <c r="K404" s="386">
        <v>59049</v>
      </c>
      <c r="L404" s="387" t="s">
        <v>393</v>
      </c>
    </row>
    <row r="405" spans="1:12" ht="25.5" hidden="1">
      <c r="A405" s="385" t="s">
        <v>424</v>
      </c>
      <c r="B405" s="385" t="s">
        <v>426</v>
      </c>
      <c r="C405" s="385" t="s">
        <v>527</v>
      </c>
      <c r="D405" s="385" t="s">
        <v>380</v>
      </c>
      <c r="E405" s="385" t="s">
        <v>19</v>
      </c>
      <c r="F405" s="385" t="s">
        <v>392</v>
      </c>
      <c r="G405" s="385" t="s">
        <v>19</v>
      </c>
      <c r="H405" s="386">
        <v>0</v>
      </c>
      <c r="I405" s="386">
        <v>143600</v>
      </c>
      <c r="J405" s="386">
        <v>0</v>
      </c>
      <c r="K405" s="386">
        <v>63090.720000000001</v>
      </c>
      <c r="L405" s="387" t="s">
        <v>393</v>
      </c>
    </row>
    <row r="406" spans="1:12" hidden="1">
      <c r="A406" s="385" t="s">
        <v>424</v>
      </c>
      <c r="B406" s="385" t="s">
        <v>426</v>
      </c>
      <c r="C406" s="385" t="s">
        <v>528</v>
      </c>
      <c r="D406" s="385" t="s">
        <v>380</v>
      </c>
      <c r="E406" s="385" t="s">
        <v>19</v>
      </c>
      <c r="F406" s="385" t="s">
        <v>386</v>
      </c>
      <c r="G406" s="385" t="s">
        <v>19</v>
      </c>
      <c r="H406" s="386">
        <v>0</v>
      </c>
      <c r="I406" s="386">
        <v>5000</v>
      </c>
      <c r="J406" s="386">
        <v>0</v>
      </c>
      <c r="K406" s="386">
        <v>0</v>
      </c>
      <c r="L406" s="387" t="s">
        <v>387</v>
      </c>
    </row>
    <row r="407" spans="1:12" hidden="1">
      <c r="A407" s="385" t="s">
        <v>424</v>
      </c>
      <c r="B407" s="385" t="s">
        <v>426</v>
      </c>
      <c r="C407" s="385" t="s">
        <v>528</v>
      </c>
      <c r="D407" s="385" t="s">
        <v>380</v>
      </c>
      <c r="E407" s="385" t="s">
        <v>19</v>
      </c>
      <c r="F407" s="385" t="s">
        <v>439</v>
      </c>
      <c r="G407" s="385" t="s">
        <v>19</v>
      </c>
      <c r="H407" s="386">
        <v>0</v>
      </c>
      <c r="I407" s="386">
        <v>8000</v>
      </c>
      <c r="J407" s="386">
        <v>0</v>
      </c>
      <c r="K407" s="386">
        <v>2324.6999999999998</v>
      </c>
      <c r="L407" s="387" t="s">
        <v>79</v>
      </c>
    </row>
    <row r="408" spans="1:12" hidden="1">
      <c r="A408" s="385" t="s">
        <v>424</v>
      </c>
      <c r="B408" s="385" t="s">
        <v>426</v>
      </c>
      <c r="C408" s="385" t="s">
        <v>528</v>
      </c>
      <c r="D408" s="385" t="s">
        <v>380</v>
      </c>
      <c r="E408" s="385" t="s">
        <v>19</v>
      </c>
      <c r="F408" s="385" t="s">
        <v>427</v>
      </c>
      <c r="G408" s="385" t="s">
        <v>19</v>
      </c>
      <c r="H408" s="386">
        <v>0</v>
      </c>
      <c r="I408" s="386">
        <v>751200</v>
      </c>
      <c r="J408" s="386">
        <v>0</v>
      </c>
      <c r="K408" s="386">
        <v>655889.93999999994</v>
      </c>
      <c r="L408" s="387" t="s">
        <v>428</v>
      </c>
    </row>
    <row r="409" spans="1:12" ht="25.5" hidden="1">
      <c r="A409" s="385" t="s">
        <v>424</v>
      </c>
      <c r="B409" s="385" t="s">
        <v>426</v>
      </c>
      <c r="C409" s="385" t="s">
        <v>528</v>
      </c>
      <c r="D409" s="385" t="s">
        <v>380</v>
      </c>
      <c r="E409" s="385" t="s">
        <v>19</v>
      </c>
      <c r="F409" s="385" t="s">
        <v>392</v>
      </c>
      <c r="G409" s="385" t="s">
        <v>19</v>
      </c>
      <c r="H409" s="386">
        <v>0</v>
      </c>
      <c r="I409" s="386">
        <v>345850</v>
      </c>
      <c r="J409" s="386">
        <v>0</v>
      </c>
      <c r="K409" s="386">
        <v>187240.19</v>
      </c>
      <c r="L409" s="387" t="s">
        <v>393</v>
      </c>
    </row>
    <row r="410" spans="1:12" hidden="1">
      <c r="A410" s="385" t="s">
        <v>424</v>
      </c>
      <c r="B410" s="385" t="s">
        <v>426</v>
      </c>
      <c r="C410" s="385" t="s">
        <v>555</v>
      </c>
      <c r="D410" s="385" t="s">
        <v>380</v>
      </c>
      <c r="E410" s="385" t="s">
        <v>19</v>
      </c>
      <c r="F410" s="385" t="s">
        <v>693</v>
      </c>
      <c r="G410" s="385" t="s">
        <v>19</v>
      </c>
      <c r="H410" s="386">
        <v>0</v>
      </c>
      <c r="I410" s="386">
        <v>89541.91</v>
      </c>
      <c r="J410" s="386">
        <v>0</v>
      </c>
      <c r="K410" s="386">
        <v>18507.09</v>
      </c>
      <c r="L410" s="387" t="s">
        <v>741</v>
      </c>
    </row>
    <row r="411" spans="1:12" ht="38.25" hidden="1">
      <c r="A411" s="385" t="s">
        <v>424</v>
      </c>
      <c r="B411" s="385" t="s">
        <v>426</v>
      </c>
      <c r="C411" s="385" t="s">
        <v>555</v>
      </c>
      <c r="D411" s="385" t="s">
        <v>380</v>
      </c>
      <c r="E411" s="385" t="s">
        <v>19</v>
      </c>
      <c r="F411" s="385" t="s">
        <v>749</v>
      </c>
      <c r="G411" s="385" t="s">
        <v>19</v>
      </c>
      <c r="H411" s="386">
        <v>0</v>
      </c>
      <c r="I411" s="386">
        <v>0</v>
      </c>
      <c r="J411" s="386">
        <v>0</v>
      </c>
      <c r="K411" s="386">
        <v>0</v>
      </c>
      <c r="L411" s="387" t="s">
        <v>750</v>
      </c>
    </row>
    <row r="412" spans="1:12" ht="25.5" hidden="1">
      <c r="A412" s="385" t="s">
        <v>424</v>
      </c>
      <c r="B412" s="385" t="s">
        <v>426</v>
      </c>
      <c r="C412" s="385" t="s">
        <v>555</v>
      </c>
      <c r="D412" s="385" t="s">
        <v>380</v>
      </c>
      <c r="E412" s="385" t="s">
        <v>19</v>
      </c>
      <c r="F412" s="385" t="s">
        <v>556</v>
      </c>
      <c r="G412" s="385" t="s">
        <v>19</v>
      </c>
      <c r="H412" s="386">
        <v>0</v>
      </c>
      <c r="I412" s="386">
        <v>0</v>
      </c>
      <c r="J412" s="386">
        <v>0</v>
      </c>
      <c r="K412" s="386">
        <v>0</v>
      </c>
      <c r="L412" s="387" t="s">
        <v>557</v>
      </c>
    </row>
    <row r="413" spans="1:12" hidden="1">
      <c r="A413" s="385" t="s">
        <v>424</v>
      </c>
      <c r="B413" s="385" t="s">
        <v>426</v>
      </c>
      <c r="C413" s="385" t="s">
        <v>566</v>
      </c>
      <c r="D413" s="385" t="s">
        <v>380</v>
      </c>
      <c r="E413" s="385" t="s">
        <v>19</v>
      </c>
      <c r="F413" s="385" t="s">
        <v>693</v>
      </c>
      <c r="G413" s="385" t="s">
        <v>19</v>
      </c>
      <c r="H413" s="386">
        <v>0</v>
      </c>
      <c r="I413" s="386">
        <v>17055.599999999999</v>
      </c>
      <c r="J413" s="386">
        <v>0</v>
      </c>
      <c r="K413" s="386">
        <v>7851.81</v>
      </c>
      <c r="L413" s="387" t="s">
        <v>741</v>
      </c>
    </row>
    <row r="414" spans="1:12" ht="25.5" hidden="1">
      <c r="A414" s="385" t="s">
        <v>424</v>
      </c>
      <c r="B414" s="385" t="s">
        <v>426</v>
      </c>
      <c r="C414" s="385" t="s">
        <v>529</v>
      </c>
      <c r="D414" s="385" t="s">
        <v>380</v>
      </c>
      <c r="E414" s="385" t="s">
        <v>19</v>
      </c>
      <c r="F414" s="385" t="s">
        <v>392</v>
      </c>
      <c r="G414" s="385" t="s">
        <v>19</v>
      </c>
      <c r="H414" s="386">
        <v>0</v>
      </c>
      <c r="I414" s="386">
        <v>16000</v>
      </c>
      <c r="J414" s="386">
        <v>0</v>
      </c>
      <c r="K414" s="386">
        <v>6010.43</v>
      </c>
      <c r="L414" s="387" t="s">
        <v>393</v>
      </c>
    </row>
    <row r="415" spans="1:12" ht="25.5" hidden="1">
      <c r="A415" s="385" t="s">
        <v>424</v>
      </c>
      <c r="B415" s="385" t="s">
        <v>426</v>
      </c>
      <c r="C415" s="385" t="s">
        <v>530</v>
      </c>
      <c r="D415" s="385" t="s">
        <v>380</v>
      </c>
      <c r="E415" s="385" t="s">
        <v>19</v>
      </c>
      <c r="F415" s="385" t="s">
        <v>392</v>
      </c>
      <c r="G415" s="385" t="s">
        <v>19</v>
      </c>
      <c r="H415" s="386">
        <v>0</v>
      </c>
      <c r="I415" s="386">
        <v>394294</v>
      </c>
      <c r="J415" s="386">
        <v>0</v>
      </c>
      <c r="K415" s="386">
        <v>162339.29999999999</v>
      </c>
      <c r="L415" s="387" t="s">
        <v>393</v>
      </c>
    </row>
    <row r="416" spans="1:12" ht="25.5" hidden="1">
      <c r="A416" s="385" t="s">
        <v>424</v>
      </c>
      <c r="B416" s="385" t="s">
        <v>426</v>
      </c>
      <c r="C416" s="385" t="s">
        <v>416</v>
      </c>
      <c r="D416" s="385" t="s">
        <v>380</v>
      </c>
      <c r="E416" s="385" t="s">
        <v>19</v>
      </c>
      <c r="F416" s="385" t="s">
        <v>392</v>
      </c>
      <c r="G416" s="385" t="s">
        <v>19</v>
      </c>
      <c r="H416" s="386">
        <v>0</v>
      </c>
      <c r="I416" s="386">
        <v>34637</v>
      </c>
      <c r="J416" s="386">
        <v>0</v>
      </c>
      <c r="K416" s="386">
        <v>2778.99</v>
      </c>
      <c r="L416" s="387" t="s">
        <v>393</v>
      </c>
    </row>
    <row r="417" spans="1:12" ht="25.5" hidden="1">
      <c r="A417" s="385" t="s">
        <v>424</v>
      </c>
      <c r="B417" s="385" t="s">
        <v>426</v>
      </c>
      <c r="C417" s="385" t="s">
        <v>531</v>
      </c>
      <c r="D417" s="385" t="s">
        <v>380</v>
      </c>
      <c r="E417" s="385" t="s">
        <v>19</v>
      </c>
      <c r="F417" s="385" t="s">
        <v>392</v>
      </c>
      <c r="G417" s="385" t="s">
        <v>19</v>
      </c>
      <c r="H417" s="386">
        <v>0</v>
      </c>
      <c r="I417" s="386">
        <v>7270</v>
      </c>
      <c r="J417" s="386">
        <v>0</v>
      </c>
      <c r="K417" s="386">
        <v>3555</v>
      </c>
      <c r="L417" s="387" t="s">
        <v>393</v>
      </c>
    </row>
    <row r="418" spans="1:12" hidden="1">
      <c r="A418" s="385" t="s">
        <v>424</v>
      </c>
      <c r="B418" s="385" t="s">
        <v>426</v>
      </c>
      <c r="C418" s="385" t="s">
        <v>510</v>
      </c>
      <c r="D418" s="385" t="s">
        <v>380</v>
      </c>
      <c r="E418" s="385" t="s">
        <v>19</v>
      </c>
      <c r="F418" s="385" t="s">
        <v>427</v>
      </c>
      <c r="G418" s="385" t="s">
        <v>19</v>
      </c>
      <c r="H418" s="386">
        <v>0</v>
      </c>
      <c r="I418" s="386">
        <v>470000</v>
      </c>
      <c r="J418" s="386">
        <v>0</v>
      </c>
      <c r="K418" s="386">
        <v>325923.06</v>
      </c>
      <c r="L418" s="387" t="s">
        <v>428</v>
      </c>
    </row>
    <row r="419" spans="1:12" hidden="1">
      <c r="A419" s="385" t="s">
        <v>424</v>
      </c>
      <c r="B419" s="385" t="s">
        <v>426</v>
      </c>
      <c r="C419" s="385" t="s">
        <v>510</v>
      </c>
      <c r="D419" s="385" t="s">
        <v>380</v>
      </c>
      <c r="E419" s="385" t="s">
        <v>19</v>
      </c>
      <c r="F419" s="385" t="s">
        <v>386</v>
      </c>
      <c r="G419" s="385" t="s">
        <v>19</v>
      </c>
      <c r="H419" s="386">
        <v>0</v>
      </c>
      <c r="I419" s="386">
        <v>55080</v>
      </c>
      <c r="J419" s="386">
        <v>0</v>
      </c>
      <c r="K419" s="386">
        <v>0</v>
      </c>
      <c r="L419" s="387" t="s">
        <v>387</v>
      </c>
    </row>
    <row r="420" spans="1:12" hidden="1">
      <c r="A420" s="385" t="s">
        <v>424</v>
      </c>
      <c r="B420" s="385" t="s">
        <v>426</v>
      </c>
      <c r="C420" s="385" t="s">
        <v>510</v>
      </c>
      <c r="D420" s="385" t="s">
        <v>380</v>
      </c>
      <c r="E420" s="385" t="s">
        <v>19</v>
      </c>
      <c r="F420" s="385" t="s">
        <v>439</v>
      </c>
      <c r="G420" s="385" t="s">
        <v>19</v>
      </c>
      <c r="H420" s="386">
        <v>0</v>
      </c>
      <c r="I420" s="386">
        <v>1000</v>
      </c>
      <c r="J420" s="386">
        <v>0</v>
      </c>
      <c r="K420" s="386">
        <v>177.12</v>
      </c>
      <c r="L420" s="387" t="s">
        <v>79</v>
      </c>
    </row>
    <row r="421" spans="1:12" ht="25.5" hidden="1">
      <c r="A421" s="385" t="s">
        <v>424</v>
      </c>
      <c r="B421" s="385" t="s">
        <v>426</v>
      </c>
      <c r="C421" s="385" t="s">
        <v>510</v>
      </c>
      <c r="D421" s="385" t="s">
        <v>380</v>
      </c>
      <c r="E421" s="385" t="s">
        <v>19</v>
      </c>
      <c r="F421" s="385" t="s">
        <v>392</v>
      </c>
      <c r="G421" s="385" t="s">
        <v>19</v>
      </c>
      <c r="H421" s="386">
        <v>0</v>
      </c>
      <c r="I421" s="386">
        <v>883260.71</v>
      </c>
      <c r="J421" s="386">
        <v>0</v>
      </c>
      <c r="K421" s="386">
        <v>469163.17</v>
      </c>
      <c r="L421" s="387" t="s">
        <v>393</v>
      </c>
    </row>
    <row r="422" spans="1:12" hidden="1">
      <c r="A422" s="385" t="s">
        <v>424</v>
      </c>
      <c r="B422" s="385" t="s">
        <v>426</v>
      </c>
      <c r="C422" s="385" t="s">
        <v>551</v>
      </c>
      <c r="D422" s="385" t="s">
        <v>380</v>
      </c>
      <c r="E422" s="385" t="s">
        <v>19</v>
      </c>
      <c r="F422" s="385" t="s">
        <v>693</v>
      </c>
      <c r="G422" s="385" t="s">
        <v>19</v>
      </c>
      <c r="H422" s="386">
        <v>0</v>
      </c>
      <c r="I422" s="386">
        <v>89541.9</v>
      </c>
      <c r="J422" s="386">
        <v>0</v>
      </c>
      <c r="K422" s="386">
        <v>28611.37</v>
      </c>
      <c r="L422" s="387" t="s">
        <v>741</v>
      </c>
    </row>
    <row r="423" spans="1:12" ht="25.5" hidden="1">
      <c r="A423" s="385" t="s">
        <v>424</v>
      </c>
      <c r="B423" s="385" t="s">
        <v>426</v>
      </c>
      <c r="C423" s="385" t="s">
        <v>551</v>
      </c>
      <c r="D423" s="385" t="s">
        <v>380</v>
      </c>
      <c r="E423" s="385" t="s">
        <v>19</v>
      </c>
      <c r="F423" s="385" t="s">
        <v>556</v>
      </c>
      <c r="G423" s="385" t="s">
        <v>19</v>
      </c>
      <c r="H423" s="386">
        <v>0</v>
      </c>
      <c r="I423" s="386">
        <v>0</v>
      </c>
      <c r="J423" s="386">
        <v>0</v>
      </c>
      <c r="K423" s="386">
        <v>0</v>
      </c>
      <c r="L423" s="387" t="s">
        <v>557</v>
      </c>
    </row>
    <row r="424" spans="1:12" ht="25.5" hidden="1">
      <c r="A424" s="385" t="s">
        <v>424</v>
      </c>
      <c r="B424" s="385" t="s">
        <v>426</v>
      </c>
      <c r="C424" s="385" t="s">
        <v>552</v>
      </c>
      <c r="D424" s="385" t="s">
        <v>380</v>
      </c>
      <c r="E424" s="385" t="s">
        <v>19</v>
      </c>
      <c r="F424" s="385" t="s">
        <v>556</v>
      </c>
      <c r="G424" s="385" t="s">
        <v>19</v>
      </c>
      <c r="H424" s="386">
        <v>0</v>
      </c>
      <c r="I424" s="386">
        <v>0</v>
      </c>
      <c r="J424" s="386">
        <v>0</v>
      </c>
      <c r="K424" s="386">
        <v>0</v>
      </c>
      <c r="L424" s="387" t="s">
        <v>557</v>
      </c>
    </row>
    <row r="425" spans="1:12" hidden="1">
      <c r="A425" s="385" t="s">
        <v>424</v>
      </c>
      <c r="B425" s="385" t="s">
        <v>426</v>
      </c>
      <c r="C425" s="385" t="s">
        <v>552</v>
      </c>
      <c r="D425" s="385" t="s">
        <v>380</v>
      </c>
      <c r="E425" s="385" t="s">
        <v>19</v>
      </c>
      <c r="F425" s="385" t="s">
        <v>693</v>
      </c>
      <c r="G425" s="385" t="s">
        <v>19</v>
      </c>
      <c r="H425" s="386">
        <v>0</v>
      </c>
      <c r="I425" s="386">
        <v>17055.599999999999</v>
      </c>
      <c r="J425" s="386">
        <v>0</v>
      </c>
      <c r="K425" s="386">
        <v>8411.6299999999992</v>
      </c>
      <c r="L425" s="387" t="s">
        <v>741</v>
      </c>
    </row>
    <row r="426" spans="1:12" ht="25.5" hidden="1">
      <c r="A426" s="385" t="s">
        <v>424</v>
      </c>
      <c r="B426" s="385" t="s">
        <v>426</v>
      </c>
      <c r="C426" s="385" t="s">
        <v>532</v>
      </c>
      <c r="D426" s="385" t="s">
        <v>380</v>
      </c>
      <c r="E426" s="385" t="s">
        <v>19</v>
      </c>
      <c r="F426" s="385" t="s">
        <v>392</v>
      </c>
      <c r="G426" s="385" t="s">
        <v>19</v>
      </c>
      <c r="H426" s="386">
        <v>0</v>
      </c>
      <c r="I426" s="386">
        <v>67500</v>
      </c>
      <c r="J426" s="386">
        <v>0</v>
      </c>
      <c r="K426" s="386">
        <v>29410.18</v>
      </c>
      <c r="L426" s="387" t="s">
        <v>393</v>
      </c>
    </row>
    <row r="427" spans="1:12" hidden="1">
      <c r="A427" s="385" t="s">
        <v>424</v>
      </c>
      <c r="B427" s="385" t="s">
        <v>426</v>
      </c>
      <c r="C427" s="385" t="s">
        <v>558</v>
      </c>
      <c r="D427" s="385" t="s">
        <v>380</v>
      </c>
      <c r="E427" s="385" t="s">
        <v>19</v>
      </c>
      <c r="F427" s="385" t="s">
        <v>427</v>
      </c>
      <c r="G427" s="385" t="s">
        <v>19</v>
      </c>
      <c r="H427" s="386">
        <v>0</v>
      </c>
      <c r="I427" s="386">
        <v>3000</v>
      </c>
      <c r="J427" s="386">
        <v>0</v>
      </c>
      <c r="K427" s="386">
        <v>520</v>
      </c>
      <c r="L427" s="387" t="s">
        <v>428</v>
      </c>
    </row>
    <row r="428" spans="1:12" hidden="1">
      <c r="A428" s="385" t="s">
        <v>424</v>
      </c>
      <c r="B428" s="385" t="s">
        <v>426</v>
      </c>
      <c r="C428" s="385" t="s">
        <v>559</v>
      </c>
      <c r="D428" s="385" t="s">
        <v>380</v>
      </c>
      <c r="E428" s="385" t="s">
        <v>19</v>
      </c>
      <c r="F428" s="385" t="s">
        <v>427</v>
      </c>
      <c r="G428" s="385" t="s">
        <v>19</v>
      </c>
      <c r="H428" s="386">
        <v>0</v>
      </c>
      <c r="I428" s="386">
        <v>15000</v>
      </c>
      <c r="J428" s="386">
        <v>0</v>
      </c>
      <c r="K428" s="386">
        <v>6361.51</v>
      </c>
      <c r="L428" s="387" t="s">
        <v>428</v>
      </c>
    </row>
    <row r="429" spans="1:12" ht="25.5" hidden="1">
      <c r="A429" s="385" t="s">
        <v>424</v>
      </c>
      <c r="B429" s="385" t="s">
        <v>426</v>
      </c>
      <c r="C429" s="385" t="s">
        <v>559</v>
      </c>
      <c r="D429" s="385" t="s">
        <v>380</v>
      </c>
      <c r="E429" s="385" t="s">
        <v>19</v>
      </c>
      <c r="F429" s="385" t="s">
        <v>392</v>
      </c>
      <c r="G429" s="385" t="s">
        <v>19</v>
      </c>
      <c r="H429" s="386">
        <v>0</v>
      </c>
      <c r="I429" s="386">
        <v>1500</v>
      </c>
      <c r="J429" s="386">
        <v>0</v>
      </c>
      <c r="K429" s="386">
        <v>1193.0999999999999</v>
      </c>
      <c r="L429" s="387" t="s">
        <v>393</v>
      </c>
    </row>
    <row r="430" spans="1:12" ht="25.5" hidden="1">
      <c r="A430" s="385" t="s">
        <v>424</v>
      </c>
      <c r="B430" s="385" t="s">
        <v>426</v>
      </c>
      <c r="C430" s="385" t="s">
        <v>533</v>
      </c>
      <c r="D430" s="385" t="s">
        <v>380</v>
      </c>
      <c r="E430" s="385" t="s">
        <v>19</v>
      </c>
      <c r="F430" s="385" t="s">
        <v>392</v>
      </c>
      <c r="G430" s="385" t="s">
        <v>19</v>
      </c>
      <c r="H430" s="386">
        <v>0</v>
      </c>
      <c r="I430" s="386">
        <v>54920</v>
      </c>
      <c r="J430" s="386">
        <v>0</v>
      </c>
      <c r="K430" s="386">
        <v>33257.949999999997</v>
      </c>
      <c r="L430" s="387" t="s">
        <v>393</v>
      </c>
    </row>
    <row r="431" spans="1:12" ht="25.5" hidden="1">
      <c r="A431" s="385" t="s">
        <v>424</v>
      </c>
      <c r="B431" s="385" t="s">
        <v>426</v>
      </c>
      <c r="C431" s="385" t="s">
        <v>560</v>
      </c>
      <c r="D431" s="385" t="s">
        <v>380</v>
      </c>
      <c r="E431" s="385" t="s">
        <v>19</v>
      </c>
      <c r="F431" s="385" t="s">
        <v>392</v>
      </c>
      <c r="G431" s="385" t="s">
        <v>19</v>
      </c>
      <c r="H431" s="386">
        <v>0</v>
      </c>
      <c r="I431" s="386">
        <v>500</v>
      </c>
      <c r="J431" s="386">
        <v>0</v>
      </c>
      <c r="K431" s="386">
        <v>0</v>
      </c>
      <c r="L431" s="387" t="s">
        <v>393</v>
      </c>
    </row>
    <row r="432" spans="1:12" ht="25.5" hidden="1">
      <c r="A432" s="385" t="s">
        <v>424</v>
      </c>
      <c r="B432" s="385" t="s">
        <v>426</v>
      </c>
      <c r="C432" s="385" t="s">
        <v>534</v>
      </c>
      <c r="D432" s="385" t="s">
        <v>380</v>
      </c>
      <c r="E432" s="385" t="s">
        <v>19</v>
      </c>
      <c r="F432" s="385" t="s">
        <v>392</v>
      </c>
      <c r="G432" s="385" t="s">
        <v>19</v>
      </c>
      <c r="H432" s="386">
        <v>0</v>
      </c>
      <c r="I432" s="386">
        <v>1000</v>
      </c>
      <c r="J432" s="386">
        <v>0</v>
      </c>
      <c r="K432" s="386">
        <v>580</v>
      </c>
      <c r="L432" s="387" t="s">
        <v>393</v>
      </c>
    </row>
    <row r="433" spans="1:12" hidden="1">
      <c r="A433" s="385" t="s">
        <v>424</v>
      </c>
      <c r="B433" s="385" t="s">
        <v>426</v>
      </c>
      <c r="C433" s="385" t="s">
        <v>534</v>
      </c>
      <c r="D433" s="385" t="s">
        <v>380</v>
      </c>
      <c r="E433" s="385" t="s">
        <v>19</v>
      </c>
      <c r="F433" s="385" t="s">
        <v>427</v>
      </c>
      <c r="G433" s="385" t="s">
        <v>19</v>
      </c>
      <c r="H433" s="386">
        <v>0</v>
      </c>
      <c r="I433" s="386">
        <v>4000</v>
      </c>
      <c r="J433" s="386">
        <v>0</v>
      </c>
      <c r="K433" s="386">
        <v>1097.31</v>
      </c>
      <c r="L433" s="387" t="s">
        <v>428</v>
      </c>
    </row>
    <row r="434" spans="1:12" ht="25.5" hidden="1">
      <c r="A434" s="385" t="s">
        <v>424</v>
      </c>
      <c r="B434" s="385" t="s">
        <v>426</v>
      </c>
      <c r="C434" s="385" t="s">
        <v>535</v>
      </c>
      <c r="D434" s="385" t="s">
        <v>380</v>
      </c>
      <c r="E434" s="385" t="s">
        <v>19</v>
      </c>
      <c r="F434" s="385" t="s">
        <v>392</v>
      </c>
      <c r="G434" s="385" t="s">
        <v>19</v>
      </c>
      <c r="H434" s="386">
        <v>0</v>
      </c>
      <c r="I434" s="386">
        <v>208476.27</v>
      </c>
      <c r="J434" s="386">
        <v>0</v>
      </c>
      <c r="K434" s="386">
        <v>156357.20000000001</v>
      </c>
      <c r="L434" s="387" t="s">
        <v>393</v>
      </c>
    </row>
    <row r="435" spans="1:12" hidden="1">
      <c r="A435" s="385" t="s">
        <v>424</v>
      </c>
      <c r="B435" s="385" t="s">
        <v>426</v>
      </c>
      <c r="C435" s="385" t="s">
        <v>538</v>
      </c>
      <c r="D435" s="385" t="s">
        <v>380</v>
      </c>
      <c r="E435" s="385" t="s">
        <v>19</v>
      </c>
      <c r="F435" s="385" t="s">
        <v>386</v>
      </c>
      <c r="G435" s="385" t="s">
        <v>19</v>
      </c>
      <c r="H435" s="386">
        <v>0</v>
      </c>
      <c r="I435" s="386">
        <v>9633.7800000000007</v>
      </c>
      <c r="J435" s="386">
        <v>0</v>
      </c>
      <c r="K435" s="386">
        <v>0</v>
      </c>
      <c r="L435" s="387" t="s">
        <v>387</v>
      </c>
    </row>
    <row r="436" spans="1:12" hidden="1">
      <c r="A436" s="385" t="s">
        <v>424</v>
      </c>
      <c r="B436" s="385" t="s">
        <v>426</v>
      </c>
      <c r="C436" s="385" t="s">
        <v>561</v>
      </c>
      <c r="D436" s="385" t="s">
        <v>380</v>
      </c>
      <c r="E436" s="385" t="s">
        <v>19</v>
      </c>
      <c r="F436" s="385" t="s">
        <v>427</v>
      </c>
      <c r="G436" s="385" t="s">
        <v>19</v>
      </c>
      <c r="H436" s="386">
        <v>0</v>
      </c>
      <c r="I436" s="386">
        <v>500</v>
      </c>
      <c r="J436" s="386">
        <v>0</v>
      </c>
      <c r="K436" s="386">
        <v>0</v>
      </c>
      <c r="L436" s="387" t="s">
        <v>428</v>
      </c>
    </row>
    <row r="437" spans="1:12" hidden="1">
      <c r="A437" s="385" t="s">
        <v>424</v>
      </c>
      <c r="B437" s="385" t="s">
        <v>426</v>
      </c>
      <c r="C437" s="385" t="s">
        <v>562</v>
      </c>
      <c r="D437" s="385" t="s">
        <v>380</v>
      </c>
      <c r="E437" s="385" t="s">
        <v>19</v>
      </c>
      <c r="F437" s="385" t="s">
        <v>427</v>
      </c>
      <c r="G437" s="385" t="s">
        <v>19</v>
      </c>
      <c r="H437" s="386">
        <v>0</v>
      </c>
      <c r="I437" s="386">
        <v>1000</v>
      </c>
      <c r="J437" s="386">
        <v>0</v>
      </c>
      <c r="K437" s="386">
        <v>0</v>
      </c>
      <c r="L437" s="387" t="s">
        <v>428</v>
      </c>
    </row>
    <row r="438" spans="1:12" hidden="1">
      <c r="A438" s="385" t="s">
        <v>424</v>
      </c>
      <c r="B438" s="385" t="s">
        <v>426</v>
      </c>
      <c r="C438" s="385" t="s">
        <v>539</v>
      </c>
      <c r="D438" s="385" t="s">
        <v>380</v>
      </c>
      <c r="E438" s="385" t="s">
        <v>19</v>
      </c>
      <c r="F438" s="385" t="s">
        <v>386</v>
      </c>
      <c r="G438" s="385" t="s">
        <v>19</v>
      </c>
      <c r="H438" s="386">
        <v>0</v>
      </c>
      <c r="I438" s="386">
        <v>30000</v>
      </c>
      <c r="J438" s="386">
        <v>0</v>
      </c>
      <c r="K438" s="386">
        <v>7871.22</v>
      </c>
      <c r="L438" s="387" t="s">
        <v>387</v>
      </c>
    </row>
    <row r="439" spans="1:12" ht="25.5" hidden="1">
      <c r="A439" s="385" t="s">
        <v>424</v>
      </c>
      <c r="B439" s="385" t="s">
        <v>426</v>
      </c>
      <c r="C439" s="385" t="s">
        <v>539</v>
      </c>
      <c r="D439" s="385" t="s">
        <v>380</v>
      </c>
      <c r="E439" s="385" t="s">
        <v>19</v>
      </c>
      <c r="F439" s="385" t="s">
        <v>392</v>
      </c>
      <c r="G439" s="385" t="s">
        <v>19</v>
      </c>
      <c r="H439" s="386">
        <v>0</v>
      </c>
      <c r="I439" s="386">
        <v>1000</v>
      </c>
      <c r="J439" s="386">
        <v>0</v>
      </c>
      <c r="K439" s="386">
        <v>600</v>
      </c>
      <c r="L439" s="387" t="s">
        <v>393</v>
      </c>
    </row>
    <row r="440" spans="1:12" hidden="1">
      <c r="A440" s="385" t="s">
        <v>424</v>
      </c>
      <c r="B440" s="385" t="s">
        <v>426</v>
      </c>
      <c r="C440" s="385" t="s">
        <v>539</v>
      </c>
      <c r="D440" s="385" t="s">
        <v>380</v>
      </c>
      <c r="E440" s="385" t="s">
        <v>19</v>
      </c>
      <c r="F440" s="385" t="s">
        <v>427</v>
      </c>
      <c r="G440" s="385" t="s">
        <v>19</v>
      </c>
      <c r="H440" s="386">
        <v>0</v>
      </c>
      <c r="I440" s="386">
        <v>7000</v>
      </c>
      <c r="J440" s="386">
        <v>0</v>
      </c>
      <c r="K440" s="386">
        <v>2833.33</v>
      </c>
      <c r="L440" s="387" t="s">
        <v>428</v>
      </c>
    </row>
    <row r="441" spans="1:12" ht="25.5" hidden="1">
      <c r="A441" s="385" t="s">
        <v>424</v>
      </c>
      <c r="B441" s="385" t="s">
        <v>426</v>
      </c>
      <c r="C441" s="385" t="s">
        <v>540</v>
      </c>
      <c r="D441" s="385" t="s">
        <v>380</v>
      </c>
      <c r="E441" s="385" t="s">
        <v>19</v>
      </c>
      <c r="F441" s="385" t="s">
        <v>392</v>
      </c>
      <c r="G441" s="385" t="s">
        <v>19</v>
      </c>
      <c r="H441" s="386">
        <v>0</v>
      </c>
      <c r="I441" s="386">
        <v>32200</v>
      </c>
      <c r="J441" s="386">
        <v>0</v>
      </c>
      <c r="K441" s="386">
        <v>17314.18</v>
      </c>
      <c r="L441" s="387" t="s">
        <v>393</v>
      </c>
    </row>
    <row r="442" spans="1:12" hidden="1">
      <c r="A442" s="385" t="s">
        <v>424</v>
      </c>
      <c r="B442" s="385" t="s">
        <v>426</v>
      </c>
      <c r="C442" s="385" t="s">
        <v>540</v>
      </c>
      <c r="D442" s="385" t="s">
        <v>380</v>
      </c>
      <c r="E442" s="385" t="s">
        <v>19</v>
      </c>
      <c r="F442" s="385" t="s">
        <v>386</v>
      </c>
      <c r="G442" s="385" t="s">
        <v>19</v>
      </c>
      <c r="H442" s="386">
        <v>0</v>
      </c>
      <c r="I442" s="386">
        <v>4920</v>
      </c>
      <c r="J442" s="386">
        <v>0</v>
      </c>
      <c r="K442" s="386">
        <v>4920</v>
      </c>
      <c r="L442" s="387" t="s">
        <v>387</v>
      </c>
    </row>
    <row r="443" spans="1:12" ht="25.5" hidden="1">
      <c r="A443" s="385" t="s">
        <v>424</v>
      </c>
      <c r="B443" s="385" t="s">
        <v>426</v>
      </c>
      <c r="C443" s="385" t="s">
        <v>563</v>
      </c>
      <c r="D443" s="385" t="s">
        <v>380</v>
      </c>
      <c r="E443" s="385" t="s">
        <v>19</v>
      </c>
      <c r="F443" s="385" t="s">
        <v>556</v>
      </c>
      <c r="G443" s="385" t="s">
        <v>19</v>
      </c>
      <c r="H443" s="386">
        <v>0</v>
      </c>
      <c r="I443" s="386">
        <v>0</v>
      </c>
      <c r="J443" s="386">
        <v>0</v>
      </c>
      <c r="K443" s="386">
        <v>0</v>
      </c>
      <c r="L443" s="387" t="s">
        <v>557</v>
      </c>
    </row>
    <row r="444" spans="1:12" ht="25.5" hidden="1">
      <c r="A444" s="385" t="s">
        <v>424</v>
      </c>
      <c r="B444" s="385" t="s">
        <v>426</v>
      </c>
      <c r="C444" s="385" t="s">
        <v>548</v>
      </c>
      <c r="D444" s="385" t="s">
        <v>380</v>
      </c>
      <c r="E444" s="385" t="s">
        <v>19</v>
      </c>
      <c r="F444" s="385" t="s">
        <v>392</v>
      </c>
      <c r="G444" s="385" t="s">
        <v>19</v>
      </c>
      <c r="H444" s="386">
        <v>0</v>
      </c>
      <c r="I444" s="386">
        <v>61180</v>
      </c>
      <c r="J444" s="386">
        <v>0</v>
      </c>
      <c r="K444" s="386">
        <v>29098.639999999999</v>
      </c>
      <c r="L444" s="387" t="s">
        <v>393</v>
      </c>
    </row>
    <row r="445" spans="1:12" ht="25.5" hidden="1">
      <c r="A445" s="385" t="s">
        <v>424</v>
      </c>
      <c r="B445" s="385" t="s">
        <v>426</v>
      </c>
      <c r="C445" s="385" t="s">
        <v>541</v>
      </c>
      <c r="D445" s="385" t="s">
        <v>380</v>
      </c>
      <c r="E445" s="385" t="s">
        <v>19</v>
      </c>
      <c r="F445" s="385" t="s">
        <v>392</v>
      </c>
      <c r="G445" s="385" t="s">
        <v>19</v>
      </c>
      <c r="H445" s="386">
        <v>0</v>
      </c>
      <c r="I445" s="386">
        <v>94000</v>
      </c>
      <c r="J445" s="386">
        <v>0</v>
      </c>
      <c r="K445" s="386">
        <v>62354.85</v>
      </c>
      <c r="L445" s="387" t="s">
        <v>393</v>
      </c>
    </row>
    <row r="446" spans="1:12" ht="25.5" hidden="1">
      <c r="A446" s="385" t="s">
        <v>424</v>
      </c>
      <c r="B446" s="385" t="s">
        <v>426</v>
      </c>
      <c r="C446" s="385" t="s">
        <v>542</v>
      </c>
      <c r="D446" s="385" t="s">
        <v>380</v>
      </c>
      <c r="E446" s="385" t="s">
        <v>19</v>
      </c>
      <c r="F446" s="385" t="s">
        <v>392</v>
      </c>
      <c r="G446" s="385" t="s">
        <v>19</v>
      </c>
      <c r="H446" s="386">
        <v>0</v>
      </c>
      <c r="I446" s="386">
        <v>22140</v>
      </c>
      <c r="J446" s="386">
        <v>0</v>
      </c>
      <c r="K446" s="386">
        <v>22140</v>
      </c>
      <c r="L446" s="387" t="s">
        <v>393</v>
      </c>
    </row>
    <row r="447" spans="1:12" hidden="1">
      <c r="A447" s="385" t="s">
        <v>424</v>
      </c>
      <c r="B447" s="385" t="s">
        <v>426</v>
      </c>
      <c r="C447" s="385" t="s">
        <v>564</v>
      </c>
      <c r="D447" s="385" t="s">
        <v>380</v>
      </c>
      <c r="E447" s="385" t="s">
        <v>19</v>
      </c>
      <c r="F447" s="385" t="s">
        <v>693</v>
      </c>
      <c r="G447" s="385" t="s">
        <v>19</v>
      </c>
      <c r="H447" s="386">
        <v>0</v>
      </c>
      <c r="I447" s="386">
        <v>197064</v>
      </c>
      <c r="J447" s="386">
        <v>0</v>
      </c>
      <c r="K447" s="386">
        <v>131716.88</v>
      </c>
      <c r="L447" s="387" t="s">
        <v>741</v>
      </c>
    </row>
    <row r="448" spans="1:12" hidden="1">
      <c r="A448" s="385" t="s">
        <v>424</v>
      </c>
      <c r="B448" s="385" t="s">
        <v>426</v>
      </c>
      <c r="C448" s="385" t="s">
        <v>692</v>
      </c>
      <c r="D448" s="385" t="s">
        <v>380</v>
      </c>
      <c r="E448" s="385" t="s">
        <v>19</v>
      </c>
      <c r="F448" s="385" t="s">
        <v>693</v>
      </c>
      <c r="G448" s="385" t="s">
        <v>19</v>
      </c>
      <c r="H448" s="386">
        <v>0</v>
      </c>
      <c r="I448" s="386">
        <v>102536</v>
      </c>
      <c r="J448" s="386">
        <v>0</v>
      </c>
      <c r="K448" s="386">
        <v>38724.22</v>
      </c>
      <c r="L448" s="387" t="s">
        <v>741</v>
      </c>
    </row>
    <row r="449" spans="1:12" hidden="1">
      <c r="A449" s="385" t="s">
        <v>424</v>
      </c>
      <c r="B449" s="385" t="s">
        <v>755</v>
      </c>
      <c r="C449" s="385" t="s">
        <v>405</v>
      </c>
      <c r="D449" s="385" t="s">
        <v>380</v>
      </c>
      <c r="E449" s="385" t="s">
        <v>19</v>
      </c>
      <c r="F449" s="385" t="s">
        <v>467</v>
      </c>
      <c r="G449" s="385" t="s">
        <v>19</v>
      </c>
      <c r="H449" s="386">
        <v>0</v>
      </c>
      <c r="I449" s="386">
        <v>12346.6</v>
      </c>
      <c r="J449" s="386">
        <v>0</v>
      </c>
      <c r="K449" s="386">
        <v>12346.6</v>
      </c>
      <c r="L449" s="387" t="s">
        <v>353</v>
      </c>
    </row>
    <row r="450" spans="1:12" hidden="1">
      <c r="A450" s="385" t="s">
        <v>424</v>
      </c>
      <c r="B450" s="385" t="s">
        <v>755</v>
      </c>
      <c r="C450" s="385" t="s">
        <v>756</v>
      </c>
      <c r="D450" s="385" t="s">
        <v>380</v>
      </c>
      <c r="E450" s="385" t="s">
        <v>19</v>
      </c>
      <c r="F450" s="385" t="s">
        <v>467</v>
      </c>
      <c r="G450" s="385" t="s">
        <v>19</v>
      </c>
      <c r="H450" s="386">
        <v>0</v>
      </c>
      <c r="I450" s="386">
        <v>1222.2</v>
      </c>
      <c r="J450" s="386">
        <v>0</v>
      </c>
      <c r="K450" s="386">
        <v>1222.2</v>
      </c>
      <c r="L450" s="387" t="s">
        <v>353</v>
      </c>
    </row>
    <row r="451" spans="1:12" hidden="1">
      <c r="A451" s="385" t="s">
        <v>424</v>
      </c>
      <c r="B451" s="385" t="s">
        <v>565</v>
      </c>
      <c r="C451" s="385" t="s">
        <v>528</v>
      </c>
      <c r="D451" s="385" t="s">
        <v>380</v>
      </c>
      <c r="E451" s="385" t="s">
        <v>19</v>
      </c>
      <c r="F451" s="385" t="s">
        <v>439</v>
      </c>
      <c r="G451" s="385" t="s">
        <v>19</v>
      </c>
      <c r="H451" s="386">
        <v>0</v>
      </c>
      <c r="I451" s="386">
        <v>40000</v>
      </c>
      <c r="J451" s="386">
        <v>0</v>
      </c>
      <c r="K451" s="386">
        <v>13397.38</v>
      </c>
      <c r="L451" s="387" t="s">
        <v>79</v>
      </c>
    </row>
    <row r="452" spans="1:12" hidden="1">
      <c r="A452" s="385" t="s">
        <v>424</v>
      </c>
      <c r="B452" s="385" t="s">
        <v>565</v>
      </c>
      <c r="C452" s="385" t="s">
        <v>529</v>
      </c>
      <c r="D452" s="385" t="s">
        <v>380</v>
      </c>
      <c r="E452" s="385" t="s">
        <v>19</v>
      </c>
      <c r="F452" s="385" t="s">
        <v>439</v>
      </c>
      <c r="G452" s="385" t="s">
        <v>19</v>
      </c>
      <c r="H452" s="386">
        <v>0</v>
      </c>
      <c r="I452" s="386">
        <v>15000</v>
      </c>
      <c r="J452" s="386">
        <v>0</v>
      </c>
      <c r="K452" s="386">
        <v>9287.4699999999993</v>
      </c>
      <c r="L452" s="387" t="s">
        <v>79</v>
      </c>
    </row>
    <row r="453" spans="1:12" hidden="1">
      <c r="A453" s="385" t="s">
        <v>424</v>
      </c>
      <c r="B453" s="385" t="s">
        <v>565</v>
      </c>
      <c r="C453" s="385" t="s">
        <v>510</v>
      </c>
      <c r="D453" s="385" t="s">
        <v>380</v>
      </c>
      <c r="E453" s="385" t="s">
        <v>19</v>
      </c>
      <c r="F453" s="385" t="s">
        <v>439</v>
      </c>
      <c r="G453" s="385" t="s">
        <v>19</v>
      </c>
      <c r="H453" s="386">
        <v>0</v>
      </c>
      <c r="I453" s="386">
        <v>90000</v>
      </c>
      <c r="J453" s="386">
        <v>0</v>
      </c>
      <c r="K453" s="386">
        <v>60618.1</v>
      </c>
      <c r="L453" s="387" t="s">
        <v>79</v>
      </c>
    </row>
    <row r="454" spans="1:12" ht="25.5" hidden="1">
      <c r="A454" s="385" t="s">
        <v>424</v>
      </c>
      <c r="B454" s="385" t="s">
        <v>432</v>
      </c>
      <c r="C454" s="385" t="s">
        <v>559</v>
      </c>
      <c r="D454" s="385" t="s">
        <v>380</v>
      </c>
      <c r="E454" s="385" t="s">
        <v>19</v>
      </c>
      <c r="F454" s="385" t="s">
        <v>389</v>
      </c>
      <c r="G454" s="385" t="s">
        <v>19</v>
      </c>
      <c r="H454" s="386">
        <v>0</v>
      </c>
      <c r="I454" s="386">
        <v>0</v>
      </c>
      <c r="J454" s="386">
        <v>0</v>
      </c>
      <c r="K454" s="386">
        <v>0</v>
      </c>
      <c r="L454" s="387" t="s">
        <v>390</v>
      </c>
    </row>
    <row r="455" spans="1:12" ht="25.5" hidden="1">
      <c r="A455" s="385" t="s">
        <v>424</v>
      </c>
      <c r="B455" s="385" t="s">
        <v>432</v>
      </c>
      <c r="C455" s="385" t="s">
        <v>534</v>
      </c>
      <c r="D455" s="385" t="s">
        <v>380</v>
      </c>
      <c r="E455" s="385" t="s">
        <v>19</v>
      </c>
      <c r="F455" s="385" t="s">
        <v>392</v>
      </c>
      <c r="G455" s="385" t="s">
        <v>19</v>
      </c>
      <c r="H455" s="386">
        <v>0</v>
      </c>
      <c r="I455" s="386">
        <v>319500</v>
      </c>
      <c r="J455" s="386">
        <v>0</v>
      </c>
      <c r="K455" s="386">
        <v>161703.32999999999</v>
      </c>
      <c r="L455" s="387" t="s">
        <v>393</v>
      </c>
    </row>
    <row r="456" spans="1:12" ht="25.5" hidden="1">
      <c r="A456" s="385" t="s">
        <v>655</v>
      </c>
      <c r="B456" s="385" t="s">
        <v>656</v>
      </c>
      <c r="C456" s="385" t="s">
        <v>515</v>
      </c>
      <c r="D456" s="385" t="s">
        <v>380</v>
      </c>
      <c r="E456" s="385" t="s">
        <v>19</v>
      </c>
      <c r="F456" s="385" t="s">
        <v>392</v>
      </c>
      <c r="G456" s="385" t="s">
        <v>12</v>
      </c>
      <c r="H456" s="386">
        <v>0</v>
      </c>
      <c r="I456" s="386">
        <v>0</v>
      </c>
      <c r="J456" s="386">
        <v>0</v>
      </c>
      <c r="K456" s="386">
        <v>0</v>
      </c>
      <c r="L456" s="387" t="s">
        <v>393</v>
      </c>
    </row>
    <row r="457" spans="1:12" ht="25.5" hidden="1">
      <c r="A457" s="385" t="s">
        <v>655</v>
      </c>
      <c r="B457" s="385" t="s">
        <v>656</v>
      </c>
      <c r="C457" s="385" t="s">
        <v>525</v>
      </c>
      <c r="D457" s="385" t="s">
        <v>380</v>
      </c>
      <c r="E457" s="385" t="s">
        <v>19</v>
      </c>
      <c r="F457" s="385" t="s">
        <v>392</v>
      </c>
      <c r="G457" s="385" t="s">
        <v>12</v>
      </c>
      <c r="H457" s="386">
        <v>0</v>
      </c>
      <c r="I457" s="386">
        <v>0</v>
      </c>
      <c r="J457" s="386">
        <v>0</v>
      </c>
      <c r="K457" s="386">
        <v>0</v>
      </c>
      <c r="L457" s="387" t="s">
        <v>393</v>
      </c>
    </row>
    <row r="458" spans="1:12" ht="25.5" hidden="1">
      <c r="A458" s="385" t="s">
        <v>655</v>
      </c>
      <c r="B458" s="385" t="s">
        <v>656</v>
      </c>
      <c r="C458" s="385" t="s">
        <v>526</v>
      </c>
      <c r="D458" s="385" t="s">
        <v>380</v>
      </c>
      <c r="E458" s="385" t="s">
        <v>19</v>
      </c>
      <c r="F458" s="385" t="s">
        <v>392</v>
      </c>
      <c r="G458" s="385" t="s">
        <v>12</v>
      </c>
      <c r="H458" s="386">
        <v>0</v>
      </c>
      <c r="I458" s="386">
        <v>0</v>
      </c>
      <c r="J458" s="386">
        <v>0</v>
      </c>
      <c r="K458" s="386">
        <v>0</v>
      </c>
      <c r="L458" s="387" t="s">
        <v>393</v>
      </c>
    </row>
    <row r="459" spans="1:12" ht="25.5" hidden="1">
      <c r="A459" s="385" t="s">
        <v>655</v>
      </c>
      <c r="B459" s="385" t="s">
        <v>656</v>
      </c>
      <c r="C459" s="385" t="s">
        <v>527</v>
      </c>
      <c r="D459" s="385" t="s">
        <v>380</v>
      </c>
      <c r="E459" s="385" t="s">
        <v>19</v>
      </c>
      <c r="F459" s="385" t="s">
        <v>392</v>
      </c>
      <c r="G459" s="385" t="s">
        <v>12</v>
      </c>
      <c r="H459" s="386">
        <v>0</v>
      </c>
      <c r="I459" s="386">
        <v>0</v>
      </c>
      <c r="J459" s="386">
        <v>0</v>
      </c>
      <c r="K459" s="386">
        <v>0</v>
      </c>
      <c r="L459" s="387" t="s">
        <v>393</v>
      </c>
    </row>
    <row r="460" spans="1:12" ht="25.5" hidden="1">
      <c r="A460" s="385" t="s">
        <v>655</v>
      </c>
      <c r="B460" s="385" t="s">
        <v>656</v>
      </c>
      <c r="C460" s="385" t="s">
        <v>528</v>
      </c>
      <c r="D460" s="385" t="s">
        <v>380</v>
      </c>
      <c r="E460" s="385" t="s">
        <v>19</v>
      </c>
      <c r="F460" s="385" t="s">
        <v>392</v>
      </c>
      <c r="G460" s="385" t="s">
        <v>12</v>
      </c>
      <c r="H460" s="386">
        <v>0</v>
      </c>
      <c r="I460" s="386">
        <v>0</v>
      </c>
      <c r="J460" s="386">
        <v>0</v>
      </c>
      <c r="K460" s="386">
        <v>0</v>
      </c>
      <c r="L460" s="387" t="s">
        <v>393</v>
      </c>
    </row>
    <row r="461" spans="1:12" ht="25.5" hidden="1">
      <c r="A461" s="385" t="s">
        <v>655</v>
      </c>
      <c r="B461" s="385" t="s">
        <v>656</v>
      </c>
      <c r="C461" s="385" t="s">
        <v>510</v>
      </c>
      <c r="D461" s="385" t="s">
        <v>380</v>
      </c>
      <c r="E461" s="385" t="s">
        <v>19</v>
      </c>
      <c r="F461" s="385" t="s">
        <v>392</v>
      </c>
      <c r="G461" s="385" t="s">
        <v>12</v>
      </c>
      <c r="H461" s="386">
        <v>0</v>
      </c>
      <c r="I461" s="386">
        <v>0</v>
      </c>
      <c r="J461" s="386">
        <v>0</v>
      </c>
      <c r="K461" s="386">
        <v>0</v>
      </c>
      <c r="L461" s="387" t="s">
        <v>393</v>
      </c>
    </row>
    <row r="462" spans="1:12" ht="25.5" hidden="1">
      <c r="A462" s="385" t="s">
        <v>655</v>
      </c>
      <c r="B462" s="385" t="s">
        <v>656</v>
      </c>
      <c r="C462" s="385" t="s">
        <v>533</v>
      </c>
      <c r="D462" s="385" t="s">
        <v>380</v>
      </c>
      <c r="E462" s="385" t="s">
        <v>19</v>
      </c>
      <c r="F462" s="385" t="s">
        <v>392</v>
      </c>
      <c r="G462" s="385" t="s">
        <v>12</v>
      </c>
      <c r="H462" s="386">
        <v>0</v>
      </c>
      <c r="I462" s="386">
        <v>0</v>
      </c>
      <c r="J462" s="386">
        <v>0</v>
      </c>
      <c r="K462" s="386">
        <v>0</v>
      </c>
      <c r="L462" s="387" t="s">
        <v>393</v>
      </c>
    </row>
    <row r="463" spans="1:12" ht="25.5" hidden="1">
      <c r="A463" s="385" t="s">
        <v>655</v>
      </c>
      <c r="B463" s="385" t="s">
        <v>656</v>
      </c>
      <c r="C463" s="385" t="s">
        <v>548</v>
      </c>
      <c r="D463" s="385" t="s">
        <v>380</v>
      </c>
      <c r="E463" s="385" t="s">
        <v>19</v>
      </c>
      <c r="F463" s="385" t="s">
        <v>392</v>
      </c>
      <c r="G463" s="385" t="s">
        <v>12</v>
      </c>
      <c r="H463" s="386">
        <v>0</v>
      </c>
      <c r="I463" s="386">
        <v>0</v>
      </c>
      <c r="J463" s="386">
        <v>0</v>
      </c>
      <c r="K463" s="386">
        <v>0</v>
      </c>
      <c r="L463" s="387" t="s">
        <v>393</v>
      </c>
    </row>
    <row r="464" spans="1:12" ht="25.5" hidden="1">
      <c r="A464" s="385" t="s">
        <v>339</v>
      </c>
      <c r="B464" s="385" t="s">
        <v>340</v>
      </c>
      <c r="C464" s="385" t="s">
        <v>523</v>
      </c>
      <c r="D464" s="385" t="s">
        <v>380</v>
      </c>
      <c r="E464" s="385" t="s">
        <v>19</v>
      </c>
      <c r="F464" s="385" t="s">
        <v>392</v>
      </c>
      <c r="G464" s="385" t="s">
        <v>12</v>
      </c>
      <c r="H464" s="386">
        <v>0</v>
      </c>
      <c r="I464" s="386">
        <v>7712</v>
      </c>
      <c r="J464" s="386">
        <v>0</v>
      </c>
      <c r="K464" s="386">
        <v>7000</v>
      </c>
      <c r="L464" s="387" t="s">
        <v>393</v>
      </c>
    </row>
    <row r="465" spans="1:12" ht="25.5" hidden="1">
      <c r="A465" s="385" t="s">
        <v>339</v>
      </c>
      <c r="B465" s="385" t="s">
        <v>340</v>
      </c>
      <c r="C465" s="385" t="s">
        <v>525</v>
      </c>
      <c r="D465" s="385" t="s">
        <v>380</v>
      </c>
      <c r="E465" s="385" t="s">
        <v>19</v>
      </c>
      <c r="F465" s="385" t="s">
        <v>392</v>
      </c>
      <c r="G465" s="385" t="s">
        <v>12</v>
      </c>
      <c r="H465" s="386">
        <v>0</v>
      </c>
      <c r="I465" s="386">
        <v>3606.79</v>
      </c>
      <c r="J465" s="386">
        <v>0</v>
      </c>
      <c r="K465" s="386">
        <v>3521.45</v>
      </c>
      <c r="L465" s="387" t="s">
        <v>393</v>
      </c>
    </row>
    <row r="466" spans="1:12" ht="25.5" hidden="1">
      <c r="A466" s="385" t="s">
        <v>339</v>
      </c>
      <c r="B466" s="385" t="s">
        <v>340</v>
      </c>
      <c r="C466" s="385" t="s">
        <v>526</v>
      </c>
      <c r="D466" s="385" t="s">
        <v>380</v>
      </c>
      <c r="E466" s="385" t="s">
        <v>19</v>
      </c>
      <c r="F466" s="385" t="s">
        <v>392</v>
      </c>
      <c r="G466" s="385" t="s">
        <v>12</v>
      </c>
      <c r="H466" s="386">
        <v>0</v>
      </c>
      <c r="I466" s="386">
        <v>306.85000000000002</v>
      </c>
      <c r="J466" s="386">
        <v>0</v>
      </c>
      <c r="K466" s="386">
        <v>294.01</v>
      </c>
      <c r="L466" s="387" t="s">
        <v>393</v>
      </c>
    </row>
    <row r="467" spans="1:12" ht="25.5" hidden="1">
      <c r="A467" s="385" t="s">
        <v>339</v>
      </c>
      <c r="B467" s="385" t="s">
        <v>340</v>
      </c>
      <c r="C467" s="385" t="s">
        <v>527</v>
      </c>
      <c r="D467" s="385" t="s">
        <v>380</v>
      </c>
      <c r="E467" s="385" t="s">
        <v>19</v>
      </c>
      <c r="F467" s="385" t="s">
        <v>392</v>
      </c>
      <c r="G467" s="385" t="s">
        <v>12</v>
      </c>
      <c r="H467" s="386">
        <v>0</v>
      </c>
      <c r="I467" s="386">
        <v>17759.43</v>
      </c>
      <c r="J467" s="386">
        <v>0</v>
      </c>
      <c r="K467" s="386">
        <v>17034.599999999999</v>
      </c>
      <c r="L467" s="387" t="s">
        <v>393</v>
      </c>
    </row>
    <row r="468" spans="1:12" ht="25.5" hidden="1">
      <c r="A468" s="385" t="s">
        <v>339</v>
      </c>
      <c r="B468" s="385" t="s">
        <v>340</v>
      </c>
      <c r="C468" s="385" t="s">
        <v>528</v>
      </c>
      <c r="D468" s="385" t="s">
        <v>380</v>
      </c>
      <c r="E468" s="385" t="s">
        <v>19</v>
      </c>
      <c r="F468" s="385" t="s">
        <v>392</v>
      </c>
      <c r="G468" s="385" t="s">
        <v>12</v>
      </c>
      <c r="H468" s="386">
        <v>0</v>
      </c>
      <c r="I468" s="386">
        <v>5314.93</v>
      </c>
      <c r="J468" s="386">
        <v>0</v>
      </c>
      <c r="K468" s="386">
        <v>5314.93</v>
      </c>
      <c r="L468" s="387" t="s">
        <v>393</v>
      </c>
    </row>
    <row r="469" spans="1:12" ht="25.5" hidden="1">
      <c r="A469" s="385" t="s">
        <v>339</v>
      </c>
      <c r="B469" s="385" t="s">
        <v>340</v>
      </c>
      <c r="C469" s="385" t="s">
        <v>510</v>
      </c>
      <c r="D469" s="385" t="s">
        <v>380</v>
      </c>
      <c r="E469" s="385" t="s">
        <v>19</v>
      </c>
      <c r="F469" s="385" t="s">
        <v>392</v>
      </c>
      <c r="G469" s="385" t="s">
        <v>12</v>
      </c>
      <c r="H469" s="386">
        <v>0</v>
      </c>
      <c r="I469" s="386">
        <v>300</v>
      </c>
      <c r="J469" s="386">
        <v>0</v>
      </c>
      <c r="K469" s="386">
        <v>0</v>
      </c>
      <c r="L469" s="387" t="s">
        <v>393</v>
      </c>
    </row>
    <row r="470" spans="1:12" ht="25.5" hidden="1">
      <c r="A470" s="385" t="s">
        <v>339</v>
      </c>
      <c r="B470" s="385" t="s">
        <v>340</v>
      </c>
      <c r="C470" s="385" t="s">
        <v>545</v>
      </c>
      <c r="D470" s="385" t="s">
        <v>380</v>
      </c>
      <c r="E470" s="385" t="s">
        <v>19</v>
      </c>
      <c r="F470" s="385" t="s">
        <v>392</v>
      </c>
      <c r="G470" s="385" t="s">
        <v>12</v>
      </c>
      <c r="H470" s="386">
        <v>0</v>
      </c>
      <c r="I470" s="386">
        <v>9000</v>
      </c>
      <c r="J470" s="386">
        <v>0</v>
      </c>
      <c r="K470" s="386">
        <v>9000</v>
      </c>
      <c r="L470" s="387" t="s">
        <v>393</v>
      </c>
    </row>
    <row r="471" spans="1:12" hidden="1">
      <c r="A471" s="385" t="s">
        <v>435</v>
      </c>
      <c r="B471" s="385" t="s">
        <v>757</v>
      </c>
      <c r="C471" s="385" t="s">
        <v>681</v>
      </c>
      <c r="D471" s="385" t="s">
        <v>380</v>
      </c>
      <c r="E471" s="385" t="s">
        <v>19</v>
      </c>
      <c r="F471" s="385" t="s">
        <v>439</v>
      </c>
      <c r="G471" s="385" t="s">
        <v>19</v>
      </c>
      <c r="H471" s="386">
        <v>0</v>
      </c>
      <c r="I471" s="386">
        <v>0</v>
      </c>
      <c r="J471" s="386">
        <v>0</v>
      </c>
      <c r="K471" s="386">
        <v>0</v>
      </c>
      <c r="L471" s="387" t="s">
        <v>79</v>
      </c>
    </row>
    <row r="472" spans="1:12" hidden="1">
      <c r="A472" s="385" t="s">
        <v>435</v>
      </c>
      <c r="B472" s="385" t="s">
        <v>436</v>
      </c>
      <c r="C472" s="385" t="s">
        <v>567</v>
      </c>
      <c r="D472" s="385" t="s">
        <v>380</v>
      </c>
      <c r="E472" s="385" t="s">
        <v>19</v>
      </c>
      <c r="F472" s="385" t="s">
        <v>463</v>
      </c>
      <c r="G472" s="385" t="s">
        <v>19</v>
      </c>
      <c r="H472" s="386">
        <v>0</v>
      </c>
      <c r="I472" s="386">
        <v>0</v>
      </c>
      <c r="J472" s="386">
        <v>0</v>
      </c>
      <c r="K472" s="386">
        <v>0</v>
      </c>
      <c r="L472" s="387" t="s">
        <v>464</v>
      </c>
    </row>
    <row r="473" spans="1:12" hidden="1">
      <c r="A473" s="385" t="s">
        <v>435</v>
      </c>
      <c r="B473" s="385" t="s">
        <v>436</v>
      </c>
      <c r="C473" s="385" t="s">
        <v>567</v>
      </c>
      <c r="D473" s="385" t="s">
        <v>380</v>
      </c>
      <c r="E473" s="385" t="s">
        <v>19</v>
      </c>
      <c r="F473" s="385" t="s">
        <v>463</v>
      </c>
      <c r="G473" s="385" t="s">
        <v>12</v>
      </c>
      <c r="H473" s="386">
        <v>0</v>
      </c>
      <c r="I473" s="386">
        <v>180000</v>
      </c>
      <c r="J473" s="386">
        <v>0</v>
      </c>
      <c r="K473" s="386">
        <v>148978.53</v>
      </c>
      <c r="L473" s="387" t="s">
        <v>464</v>
      </c>
    </row>
    <row r="474" spans="1:12" hidden="1">
      <c r="A474" s="385" t="s">
        <v>435</v>
      </c>
      <c r="B474" s="385" t="s">
        <v>436</v>
      </c>
      <c r="C474" s="385" t="s">
        <v>523</v>
      </c>
      <c r="D474" s="385" t="s">
        <v>380</v>
      </c>
      <c r="E474" s="385" t="s">
        <v>19</v>
      </c>
      <c r="F474" s="385" t="s">
        <v>463</v>
      </c>
      <c r="G474" s="385" t="s">
        <v>19</v>
      </c>
      <c r="H474" s="386">
        <v>0</v>
      </c>
      <c r="I474" s="386">
        <v>0</v>
      </c>
      <c r="J474" s="386">
        <v>0</v>
      </c>
      <c r="K474" s="386">
        <v>0</v>
      </c>
      <c r="L474" s="387" t="s">
        <v>464</v>
      </c>
    </row>
    <row r="475" spans="1:12" hidden="1">
      <c r="A475" s="385" t="s">
        <v>435</v>
      </c>
      <c r="B475" s="385" t="s">
        <v>436</v>
      </c>
      <c r="C475" s="385" t="s">
        <v>523</v>
      </c>
      <c r="D475" s="385" t="s">
        <v>380</v>
      </c>
      <c r="E475" s="385" t="s">
        <v>19</v>
      </c>
      <c r="F475" s="385" t="s">
        <v>463</v>
      </c>
      <c r="G475" s="385" t="s">
        <v>12</v>
      </c>
      <c r="H475" s="386">
        <v>0</v>
      </c>
      <c r="I475" s="386">
        <v>34638</v>
      </c>
      <c r="J475" s="386">
        <v>0</v>
      </c>
      <c r="K475" s="386">
        <v>19145.07</v>
      </c>
      <c r="L475" s="387" t="s">
        <v>464</v>
      </c>
    </row>
    <row r="476" spans="1:12" hidden="1">
      <c r="A476" s="385" t="s">
        <v>435</v>
      </c>
      <c r="B476" s="385" t="s">
        <v>436</v>
      </c>
      <c r="C476" s="385" t="s">
        <v>549</v>
      </c>
      <c r="D476" s="385" t="s">
        <v>380</v>
      </c>
      <c r="E476" s="385" t="s">
        <v>19</v>
      </c>
      <c r="F476" s="385" t="s">
        <v>463</v>
      </c>
      <c r="G476" s="385" t="s">
        <v>12</v>
      </c>
      <c r="H476" s="386">
        <v>0</v>
      </c>
      <c r="I476" s="386">
        <v>80417</v>
      </c>
      <c r="J476" s="386">
        <v>0</v>
      </c>
      <c r="K476" s="386">
        <v>14853.17</v>
      </c>
      <c r="L476" s="387" t="s">
        <v>464</v>
      </c>
    </row>
    <row r="477" spans="1:12" hidden="1">
      <c r="A477" s="385" t="s">
        <v>435</v>
      </c>
      <c r="B477" s="385" t="s">
        <v>436</v>
      </c>
      <c r="C477" s="385" t="s">
        <v>549</v>
      </c>
      <c r="D477" s="385" t="s">
        <v>380</v>
      </c>
      <c r="E477" s="385" t="s">
        <v>19</v>
      </c>
      <c r="F477" s="385" t="s">
        <v>463</v>
      </c>
      <c r="G477" s="385" t="s">
        <v>19</v>
      </c>
      <c r="H477" s="386">
        <v>0</v>
      </c>
      <c r="I477" s="386">
        <v>0</v>
      </c>
      <c r="J477" s="386">
        <v>0</v>
      </c>
      <c r="K477" s="386">
        <v>0</v>
      </c>
      <c r="L477" s="387" t="s">
        <v>464</v>
      </c>
    </row>
    <row r="478" spans="1:12" hidden="1">
      <c r="A478" s="385" t="s">
        <v>435</v>
      </c>
      <c r="B478" s="385" t="s">
        <v>436</v>
      </c>
      <c r="C478" s="385" t="s">
        <v>524</v>
      </c>
      <c r="D478" s="385" t="s">
        <v>380</v>
      </c>
      <c r="E478" s="385" t="s">
        <v>19</v>
      </c>
      <c r="F478" s="385" t="s">
        <v>463</v>
      </c>
      <c r="G478" s="385" t="s">
        <v>12</v>
      </c>
      <c r="H478" s="386">
        <v>0</v>
      </c>
      <c r="I478" s="386">
        <v>9550</v>
      </c>
      <c r="J478" s="386">
        <v>0</v>
      </c>
      <c r="K478" s="386">
        <v>7478.13</v>
      </c>
      <c r="L478" s="387" t="s">
        <v>464</v>
      </c>
    </row>
    <row r="479" spans="1:12" hidden="1">
      <c r="A479" s="385" t="s">
        <v>435</v>
      </c>
      <c r="B479" s="385" t="s">
        <v>436</v>
      </c>
      <c r="C479" s="385" t="s">
        <v>524</v>
      </c>
      <c r="D479" s="385" t="s">
        <v>380</v>
      </c>
      <c r="E479" s="385" t="s">
        <v>19</v>
      </c>
      <c r="F479" s="385" t="s">
        <v>463</v>
      </c>
      <c r="G479" s="385" t="s">
        <v>19</v>
      </c>
      <c r="H479" s="386">
        <v>0</v>
      </c>
      <c r="I479" s="386">
        <v>0</v>
      </c>
      <c r="J479" s="386">
        <v>0</v>
      </c>
      <c r="K479" s="386">
        <v>0</v>
      </c>
      <c r="L479" s="387" t="s">
        <v>464</v>
      </c>
    </row>
    <row r="480" spans="1:12" hidden="1">
      <c r="A480" s="385" t="s">
        <v>435</v>
      </c>
      <c r="B480" s="385" t="s">
        <v>436</v>
      </c>
      <c r="C480" s="385" t="s">
        <v>568</v>
      </c>
      <c r="D480" s="385" t="s">
        <v>380</v>
      </c>
      <c r="E480" s="385" t="s">
        <v>19</v>
      </c>
      <c r="F480" s="385" t="s">
        <v>463</v>
      </c>
      <c r="G480" s="385" t="s">
        <v>19</v>
      </c>
      <c r="H480" s="386">
        <v>0</v>
      </c>
      <c r="I480" s="386">
        <v>0</v>
      </c>
      <c r="J480" s="386">
        <v>0</v>
      </c>
      <c r="K480" s="386">
        <v>0</v>
      </c>
      <c r="L480" s="387" t="s">
        <v>464</v>
      </c>
    </row>
    <row r="481" spans="1:12" hidden="1">
      <c r="A481" s="385" t="s">
        <v>435</v>
      </c>
      <c r="B481" s="385" t="s">
        <v>436</v>
      </c>
      <c r="C481" s="385" t="s">
        <v>568</v>
      </c>
      <c r="D481" s="385" t="s">
        <v>380</v>
      </c>
      <c r="E481" s="385" t="s">
        <v>19</v>
      </c>
      <c r="F481" s="385" t="s">
        <v>463</v>
      </c>
      <c r="G481" s="385" t="s">
        <v>12</v>
      </c>
      <c r="H481" s="386">
        <v>0</v>
      </c>
      <c r="I481" s="386">
        <v>7581524.6799999997</v>
      </c>
      <c r="J481" s="386">
        <v>0</v>
      </c>
      <c r="K481" s="386">
        <v>4678654.3899999997</v>
      </c>
      <c r="L481" s="387" t="s">
        <v>464</v>
      </c>
    </row>
    <row r="482" spans="1:12" hidden="1">
      <c r="A482" s="385" t="s">
        <v>435</v>
      </c>
      <c r="B482" s="385" t="s">
        <v>436</v>
      </c>
      <c r="C482" s="385" t="s">
        <v>569</v>
      </c>
      <c r="D482" s="385" t="s">
        <v>380</v>
      </c>
      <c r="E482" s="385" t="s">
        <v>19</v>
      </c>
      <c r="F482" s="385" t="s">
        <v>463</v>
      </c>
      <c r="G482" s="385" t="s">
        <v>19</v>
      </c>
      <c r="H482" s="386">
        <v>0</v>
      </c>
      <c r="I482" s="386">
        <v>0</v>
      </c>
      <c r="J482" s="386">
        <v>0</v>
      </c>
      <c r="K482" s="386">
        <v>0</v>
      </c>
      <c r="L482" s="387" t="s">
        <v>464</v>
      </c>
    </row>
    <row r="483" spans="1:12" hidden="1">
      <c r="A483" s="385" t="s">
        <v>435</v>
      </c>
      <c r="B483" s="385" t="s">
        <v>436</v>
      </c>
      <c r="C483" s="385" t="s">
        <v>569</v>
      </c>
      <c r="D483" s="385" t="s">
        <v>380</v>
      </c>
      <c r="E483" s="385" t="s">
        <v>19</v>
      </c>
      <c r="F483" s="385" t="s">
        <v>463</v>
      </c>
      <c r="G483" s="385" t="s">
        <v>12</v>
      </c>
      <c r="H483" s="386">
        <v>0</v>
      </c>
      <c r="I483" s="386">
        <v>200701.32</v>
      </c>
      <c r="J483" s="386">
        <v>0</v>
      </c>
      <c r="K483" s="386">
        <v>120421.32</v>
      </c>
      <c r="L483" s="387" t="s">
        <v>464</v>
      </c>
    </row>
    <row r="484" spans="1:12" hidden="1">
      <c r="A484" s="385" t="s">
        <v>435</v>
      </c>
      <c r="B484" s="385" t="s">
        <v>436</v>
      </c>
      <c r="C484" s="385" t="s">
        <v>570</v>
      </c>
      <c r="D484" s="385" t="s">
        <v>380</v>
      </c>
      <c r="E484" s="385" t="s">
        <v>19</v>
      </c>
      <c r="F484" s="385" t="s">
        <v>463</v>
      </c>
      <c r="G484" s="385" t="s">
        <v>19</v>
      </c>
      <c r="H484" s="386">
        <v>0</v>
      </c>
      <c r="I484" s="386">
        <v>0</v>
      </c>
      <c r="J484" s="386">
        <v>0</v>
      </c>
      <c r="K484" s="386">
        <v>0</v>
      </c>
      <c r="L484" s="387" t="s">
        <v>464</v>
      </c>
    </row>
    <row r="485" spans="1:12" hidden="1">
      <c r="A485" s="385" t="s">
        <v>435</v>
      </c>
      <c r="B485" s="385" t="s">
        <v>436</v>
      </c>
      <c r="C485" s="385" t="s">
        <v>570</v>
      </c>
      <c r="D485" s="385" t="s">
        <v>380</v>
      </c>
      <c r="E485" s="385" t="s">
        <v>19</v>
      </c>
      <c r="F485" s="385" t="s">
        <v>463</v>
      </c>
      <c r="G485" s="385" t="s">
        <v>12</v>
      </c>
      <c r="H485" s="386">
        <v>0</v>
      </c>
      <c r="I485" s="386">
        <v>603510</v>
      </c>
      <c r="J485" s="386">
        <v>0</v>
      </c>
      <c r="K485" s="386">
        <v>555633.68999999994</v>
      </c>
      <c r="L485" s="387" t="s">
        <v>464</v>
      </c>
    </row>
    <row r="486" spans="1:12" hidden="1">
      <c r="A486" s="385" t="s">
        <v>435</v>
      </c>
      <c r="B486" s="385" t="s">
        <v>436</v>
      </c>
      <c r="C486" s="385" t="s">
        <v>571</v>
      </c>
      <c r="D486" s="385" t="s">
        <v>380</v>
      </c>
      <c r="E486" s="385" t="s">
        <v>19</v>
      </c>
      <c r="F486" s="385" t="s">
        <v>463</v>
      </c>
      <c r="G486" s="385" t="s">
        <v>19</v>
      </c>
      <c r="H486" s="386">
        <v>0</v>
      </c>
      <c r="I486" s="386">
        <v>0</v>
      </c>
      <c r="J486" s="386">
        <v>0</v>
      </c>
      <c r="K486" s="386">
        <v>0</v>
      </c>
      <c r="L486" s="387" t="s">
        <v>464</v>
      </c>
    </row>
    <row r="487" spans="1:12" hidden="1">
      <c r="A487" s="385" t="s">
        <v>435</v>
      </c>
      <c r="B487" s="385" t="s">
        <v>436</v>
      </c>
      <c r="C487" s="385" t="s">
        <v>571</v>
      </c>
      <c r="D487" s="385" t="s">
        <v>380</v>
      </c>
      <c r="E487" s="385" t="s">
        <v>19</v>
      </c>
      <c r="F487" s="385" t="s">
        <v>463</v>
      </c>
      <c r="G487" s="385" t="s">
        <v>12</v>
      </c>
      <c r="H487" s="386">
        <v>0</v>
      </c>
      <c r="I487" s="386">
        <v>17729.599999999999</v>
      </c>
      <c r="J487" s="386">
        <v>0</v>
      </c>
      <c r="K487" s="386">
        <v>17729.599999999999</v>
      </c>
      <c r="L487" s="387" t="s">
        <v>464</v>
      </c>
    </row>
    <row r="488" spans="1:12" hidden="1">
      <c r="A488" s="385" t="s">
        <v>435</v>
      </c>
      <c r="B488" s="385" t="s">
        <v>436</v>
      </c>
      <c r="C488" s="385" t="s">
        <v>525</v>
      </c>
      <c r="D488" s="385" t="s">
        <v>380</v>
      </c>
      <c r="E488" s="385" t="s">
        <v>19</v>
      </c>
      <c r="F488" s="385" t="s">
        <v>463</v>
      </c>
      <c r="G488" s="385" t="s">
        <v>19</v>
      </c>
      <c r="H488" s="386">
        <v>0</v>
      </c>
      <c r="I488" s="386">
        <v>0</v>
      </c>
      <c r="J488" s="386">
        <v>0</v>
      </c>
      <c r="K488" s="386">
        <v>0</v>
      </c>
      <c r="L488" s="387" t="s">
        <v>464</v>
      </c>
    </row>
    <row r="489" spans="1:12" hidden="1">
      <c r="A489" s="385" t="s">
        <v>435</v>
      </c>
      <c r="B489" s="385" t="s">
        <v>436</v>
      </c>
      <c r="C489" s="385" t="s">
        <v>525</v>
      </c>
      <c r="D489" s="385" t="s">
        <v>380</v>
      </c>
      <c r="E489" s="385" t="s">
        <v>19</v>
      </c>
      <c r="F489" s="385" t="s">
        <v>463</v>
      </c>
      <c r="G489" s="385" t="s">
        <v>12</v>
      </c>
      <c r="H489" s="386">
        <v>0</v>
      </c>
      <c r="I489" s="386">
        <v>23350</v>
      </c>
      <c r="J489" s="386">
        <v>0</v>
      </c>
      <c r="K489" s="386">
        <v>5399.18</v>
      </c>
      <c r="L489" s="387" t="s">
        <v>464</v>
      </c>
    </row>
    <row r="490" spans="1:12" hidden="1">
      <c r="A490" s="385" t="s">
        <v>435</v>
      </c>
      <c r="B490" s="385" t="s">
        <v>436</v>
      </c>
      <c r="C490" s="385" t="s">
        <v>526</v>
      </c>
      <c r="D490" s="385" t="s">
        <v>380</v>
      </c>
      <c r="E490" s="385" t="s">
        <v>19</v>
      </c>
      <c r="F490" s="385" t="s">
        <v>463</v>
      </c>
      <c r="G490" s="385" t="s">
        <v>12</v>
      </c>
      <c r="H490" s="386">
        <v>0</v>
      </c>
      <c r="I490" s="386">
        <v>4760</v>
      </c>
      <c r="J490" s="386">
        <v>0</v>
      </c>
      <c r="K490" s="386">
        <v>376.26</v>
      </c>
      <c r="L490" s="387" t="s">
        <v>464</v>
      </c>
    </row>
    <row r="491" spans="1:12" hidden="1">
      <c r="A491" s="385" t="s">
        <v>435</v>
      </c>
      <c r="B491" s="385" t="s">
        <v>436</v>
      </c>
      <c r="C491" s="385" t="s">
        <v>526</v>
      </c>
      <c r="D491" s="385" t="s">
        <v>380</v>
      </c>
      <c r="E491" s="385" t="s">
        <v>19</v>
      </c>
      <c r="F491" s="385" t="s">
        <v>463</v>
      </c>
      <c r="G491" s="385" t="s">
        <v>19</v>
      </c>
      <c r="H491" s="386">
        <v>0</v>
      </c>
      <c r="I491" s="386">
        <v>0</v>
      </c>
      <c r="J491" s="386">
        <v>0</v>
      </c>
      <c r="K491" s="386">
        <v>0</v>
      </c>
      <c r="L491" s="387" t="s">
        <v>464</v>
      </c>
    </row>
    <row r="492" spans="1:12" hidden="1">
      <c r="A492" s="385" t="s">
        <v>435</v>
      </c>
      <c r="B492" s="385" t="s">
        <v>436</v>
      </c>
      <c r="C492" s="385" t="s">
        <v>527</v>
      </c>
      <c r="D492" s="385" t="s">
        <v>380</v>
      </c>
      <c r="E492" s="385" t="s">
        <v>19</v>
      </c>
      <c r="F492" s="385" t="s">
        <v>463</v>
      </c>
      <c r="G492" s="385" t="s">
        <v>12</v>
      </c>
      <c r="H492" s="386">
        <v>0</v>
      </c>
      <c r="I492" s="386">
        <v>5100</v>
      </c>
      <c r="J492" s="386">
        <v>0</v>
      </c>
      <c r="K492" s="386">
        <v>0</v>
      </c>
      <c r="L492" s="387" t="s">
        <v>464</v>
      </c>
    </row>
    <row r="493" spans="1:12" hidden="1">
      <c r="A493" s="385" t="s">
        <v>435</v>
      </c>
      <c r="B493" s="385" t="s">
        <v>436</v>
      </c>
      <c r="C493" s="385" t="s">
        <v>527</v>
      </c>
      <c r="D493" s="385" t="s">
        <v>380</v>
      </c>
      <c r="E493" s="385" t="s">
        <v>19</v>
      </c>
      <c r="F493" s="385" t="s">
        <v>463</v>
      </c>
      <c r="G493" s="385" t="s">
        <v>19</v>
      </c>
      <c r="H493" s="386">
        <v>0</v>
      </c>
      <c r="I493" s="386">
        <v>0</v>
      </c>
      <c r="J493" s="386">
        <v>0</v>
      </c>
      <c r="K493" s="386">
        <v>0</v>
      </c>
      <c r="L493" s="387" t="s">
        <v>464</v>
      </c>
    </row>
    <row r="494" spans="1:12" hidden="1">
      <c r="A494" s="385" t="s">
        <v>435</v>
      </c>
      <c r="B494" s="385" t="s">
        <v>436</v>
      </c>
      <c r="C494" s="385" t="s">
        <v>572</v>
      </c>
      <c r="D494" s="385" t="s">
        <v>380</v>
      </c>
      <c r="E494" s="385" t="s">
        <v>19</v>
      </c>
      <c r="F494" s="385" t="s">
        <v>463</v>
      </c>
      <c r="G494" s="385" t="s">
        <v>19</v>
      </c>
      <c r="H494" s="386">
        <v>0</v>
      </c>
      <c r="I494" s="386">
        <v>0</v>
      </c>
      <c r="J494" s="386">
        <v>0</v>
      </c>
      <c r="K494" s="386">
        <v>0</v>
      </c>
      <c r="L494" s="387" t="s">
        <v>464</v>
      </c>
    </row>
    <row r="495" spans="1:12" hidden="1">
      <c r="A495" s="385" t="s">
        <v>435</v>
      </c>
      <c r="B495" s="385" t="s">
        <v>436</v>
      </c>
      <c r="C495" s="385" t="s">
        <v>572</v>
      </c>
      <c r="D495" s="385" t="s">
        <v>380</v>
      </c>
      <c r="E495" s="385" t="s">
        <v>19</v>
      </c>
      <c r="F495" s="385" t="s">
        <v>463</v>
      </c>
      <c r="G495" s="385" t="s">
        <v>12</v>
      </c>
      <c r="H495" s="386">
        <v>0</v>
      </c>
      <c r="I495" s="386">
        <v>1287656.3999999999</v>
      </c>
      <c r="J495" s="386">
        <v>0</v>
      </c>
      <c r="K495" s="386">
        <v>1156620.69</v>
      </c>
      <c r="L495" s="387" t="s">
        <v>464</v>
      </c>
    </row>
    <row r="496" spans="1:12" hidden="1">
      <c r="A496" s="385" t="s">
        <v>435</v>
      </c>
      <c r="B496" s="385" t="s">
        <v>436</v>
      </c>
      <c r="C496" s="385" t="s">
        <v>528</v>
      </c>
      <c r="D496" s="385" t="s">
        <v>380</v>
      </c>
      <c r="E496" s="385" t="s">
        <v>19</v>
      </c>
      <c r="F496" s="385" t="s">
        <v>463</v>
      </c>
      <c r="G496" s="385" t="s">
        <v>12</v>
      </c>
      <c r="H496" s="386">
        <v>0</v>
      </c>
      <c r="I496" s="386">
        <v>145649</v>
      </c>
      <c r="J496" s="386">
        <v>0</v>
      </c>
      <c r="K496" s="386">
        <v>74528.100000000006</v>
      </c>
      <c r="L496" s="387" t="s">
        <v>464</v>
      </c>
    </row>
    <row r="497" spans="1:12" hidden="1">
      <c r="A497" s="385" t="s">
        <v>435</v>
      </c>
      <c r="B497" s="385" t="s">
        <v>436</v>
      </c>
      <c r="C497" s="385" t="s">
        <v>528</v>
      </c>
      <c r="D497" s="385" t="s">
        <v>380</v>
      </c>
      <c r="E497" s="385" t="s">
        <v>19</v>
      </c>
      <c r="F497" s="385" t="s">
        <v>463</v>
      </c>
      <c r="G497" s="385" t="s">
        <v>19</v>
      </c>
      <c r="H497" s="386">
        <v>0</v>
      </c>
      <c r="I497" s="386">
        <v>0</v>
      </c>
      <c r="J497" s="386">
        <v>0</v>
      </c>
      <c r="K497" s="386">
        <v>0</v>
      </c>
      <c r="L497" s="387" t="s">
        <v>464</v>
      </c>
    </row>
    <row r="498" spans="1:12" hidden="1">
      <c r="A498" s="385" t="s">
        <v>435</v>
      </c>
      <c r="B498" s="385" t="s">
        <v>436</v>
      </c>
      <c r="C498" s="385" t="s">
        <v>529</v>
      </c>
      <c r="D498" s="385" t="s">
        <v>380</v>
      </c>
      <c r="E498" s="385" t="s">
        <v>19</v>
      </c>
      <c r="F498" s="385" t="s">
        <v>463</v>
      </c>
      <c r="G498" s="385" t="s">
        <v>19</v>
      </c>
      <c r="H498" s="386">
        <v>0</v>
      </c>
      <c r="I498" s="386">
        <v>0</v>
      </c>
      <c r="J498" s="386">
        <v>0</v>
      </c>
      <c r="K498" s="386">
        <v>0</v>
      </c>
      <c r="L498" s="387" t="s">
        <v>464</v>
      </c>
    </row>
    <row r="499" spans="1:12" hidden="1">
      <c r="A499" s="385" t="s">
        <v>435</v>
      </c>
      <c r="B499" s="385" t="s">
        <v>436</v>
      </c>
      <c r="C499" s="385" t="s">
        <v>529</v>
      </c>
      <c r="D499" s="385" t="s">
        <v>380</v>
      </c>
      <c r="E499" s="385" t="s">
        <v>19</v>
      </c>
      <c r="F499" s="385" t="s">
        <v>463</v>
      </c>
      <c r="G499" s="385" t="s">
        <v>12</v>
      </c>
      <c r="H499" s="386">
        <v>0</v>
      </c>
      <c r="I499" s="386">
        <v>1163</v>
      </c>
      <c r="J499" s="386">
        <v>0</v>
      </c>
      <c r="K499" s="386">
        <v>0</v>
      </c>
      <c r="L499" s="387" t="s">
        <v>464</v>
      </c>
    </row>
    <row r="500" spans="1:12" hidden="1">
      <c r="A500" s="385" t="s">
        <v>435</v>
      </c>
      <c r="B500" s="385" t="s">
        <v>436</v>
      </c>
      <c r="C500" s="385" t="s">
        <v>530</v>
      </c>
      <c r="D500" s="385" t="s">
        <v>380</v>
      </c>
      <c r="E500" s="385" t="s">
        <v>19</v>
      </c>
      <c r="F500" s="385" t="s">
        <v>463</v>
      </c>
      <c r="G500" s="385" t="s">
        <v>12</v>
      </c>
      <c r="H500" s="386">
        <v>0</v>
      </c>
      <c r="I500" s="386">
        <v>150000</v>
      </c>
      <c r="J500" s="386">
        <v>0</v>
      </c>
      <c r="K500" s="386">
        <v>141769.62</v>
      </c>
      <c r="L500" s="387" t="s">
        <v>464</v>
      </c>
    </row>
    <row r="501" spans="1:12" hidden="1">
      <c r="A501" s="385" t="s">
        <v>435</v>
      </c>
      <c r="B501" s="385" t="s">
        <v>436</v>
      </c>
      <c r="C501" s="385" t="s">
        <v>530</v>
      </c>
      <c r="D501" s="385" t="s">
        <v>380</v>
      </c>
      <c r="E501" s="385" t="s">
        <v>19</v>
      </c>
      <c r="F501" s="385" t="s">
        <v>463</v>
      </c>
      <c r="G501" s="385" t="s">
        <v>19</v>
      </c>
      <c r="H501" s="386">
        <v>0</v>
      </c>
      <c r="I501" s="386">
        <v>0</v>
      </c>
      <c r="J501" s="386">
        <v>0</v>
      </c>
      <c r="K501" s="386">
        <v>0</v>
      </c>
      <c r="L501" s="387" t="s">
        <v>464</v>
      </c>
    </row>
    <row r="502" spans="1:12" hidden="1">
      <c r="A502" s="385" t="s">
        <v>435</v>
      </c>
      <c r="B502" s="385" t="s">
        <v>436</v>
      </c>
      <c r="C502" s="385" t="s">
        <v>416</v>
      </c>
      <c r="D502" s="385" t="s">
        <v>380</v>
      </c>
      <c r="E502" s="385" t="s">
        <v>19</v>
      </c>
      <c r="F502" s="385" t="s">
        <v>463</v>
      </c>
      <c r="G502" s="385" t="s">
        <v>12</v>
      </c>
      <c r="H502" s="386">
        <v>0</v>
      </c>
      <c r="I502" s="386">
        <v>20000</v>
      </c>
      <c r="J502" s="386">
        <v>0</v>
      </c>
      <c r="K502" s="386">
        <v>6762.6</v>
      </c>
      <c r="L502" s="387" t="s">
        <v>464</v>
      </c>
    </row>
    <row r="503" spans="1:12" hidden="1">
      <c r="A503" s="385" t="s">
        <v>435</v>
      </c>
      <c r="B503" s="385" t="s">
        <v>436</v>
      </c>
      <c r="C503" s="385" t="s">
        <v>416</v>
      </c>
      <c r="D503" s="385" t="s">
        <v>380</v>
      </c>
      <c r="E503" s="385" t="s">
        <v>19</v>
      </c>
      <c r="F503" s="385" t="s">
        <v>463</v>
      </c>
      <c r="G503" s="385" t="s">
        <v>19</v>
      </c>
      <c r="H503" s="386">
        <v>0</v>
      </c>
      <c r="I503" s="386">
        <v>0</v>
      </c>
      <c r="J503" s="386">
        <v>0</v>
      </c>
      <c r="K503" s="386">
        <v>0</v>
      </c>
      <c r="L503" s="387" t="s">
        <v>464</v>
      </c>
    </row>
    <row r="504" spans="1:12" hidden="1">
      <c r="A504" s="385" t="s">
        <v>435</v>
      </c>
      <c r="B504" s="385" t="s">
        <v>436</v>
      </c>
      <c r="C504" s="385" t="s">
        <v>531</v>
      </c>
      <c r="D504" s="385" t="s">
        <v>380</v>
      </c>
      <c r="E504" s="385" t="s">
        <v>19</v>
      </c>
      <c r="F504" s="385" t="s">
        <v>463</v>
      </c>
      <c r="G504" s="385" t="s">
        <v>19</v>
      </c>
      <c r="H504" s="386">
        <v>0</v>
      </c>
      <c r="I504" s="386">
        <v>0</v>
      </c>
      <c r="J504" s="386">
        <v>0</v>
      </c>
      <c r="K504" s="386">
        <v>0</v>
      </c>
      <c r="L504" s="387" t="s">
        <v>464</v>
      </c>
    </row>
    <row r="505" spans="1:12" hidden="1">
      <c r="A505" s="385" t="s">
        <v>435</v>
      </c>
      <c r="B505" s="385" t="s">
        <v>436</v>
      </c>
      <c r="C505" s="385" t="s">
        <v>531</v>
      </c>
      <c r="D505" s="385" t="s">
        <v>380</v>
      </c>
      <c r="E505" s="385" t="s">
        <v>19</v>
      </c>
      <c r="F505" s="385" t="s">
        <v>463</v>
      </c>
      <c r="G505" s="385" t="s">
        <v>12</v>
      </c>
      <c r="H505" s="386">
        <v>0</v>
      </c>
      <c r="I505" s="386">
        <v>32500</v>
      </c>
      <c r="J505" s="386">
        <v>0</v>
      </c>
      <c r="K505" s="386">
        <v>17584.349999999999</v>
      </c>
      <c r="L505" s="387" t="s">
        <v>464</v>
      </c>
    </row>
    <row r="506" spans="1:12" hidden="1">
      <c r="A506" s="385" t="s">
        <v>435</v>
      </c>
      <c r="B506" s="385" t="s">
        <v>436</v>
      </c>
      <c r="C506" s="385" t="s">
        <v>510</v>
      </c>
      <c r="D506" s="385" t="s">
        <v>380</v>
      </c>
      <c r="E506" s="385" t="s">
        <v>19</v>
      </c>
      <c r="F506" s="385" t="s">
        <v>463</v>
      </c>
      <c r="G506" s="385" t="s">
        <v>12</v>
      </c>
      <c r="H506" s="386">
        <v>0</v>
      </c>
      <c r="I506" s="386">
        <v>83812.899999999994</v>
      </c>
      <c r="J506" s="386">
        <v>0</v>
      </c>
      <c r="K506" s="386">
        <v>64923.95</v>
      </c>
      <c r="L506" s="387" t="s">
        <v>464</v>
      </c>
    </row>
    <row r="507" spans="1:12" hidden="1">
      <c r="A507" s="385" t="s">
        <v>435</v>
      </c>
      <c r="B507" s="385" t="s">
        <v>436</v>
      </c>
      <c r="C507" s="385" t="s">
        <v>510</v>
      </c>
      <c r="D507" s="385" t="s">
        <v>380</v>
      </c>
      <c r="E507" s="385" t="s">
        <v>19</v>
      </c>
      <c r="F507" s="385" t="s">
        <v>463</v>
      </c>
      <c r="G507" s="385" t="s">
        <v>19</v>
      </c>
      <c r="H507" s="386">
        <v>0</v>
      </c>
      <c r="I507" s="386">
        <v>0</v>
      </c>
      <c r="J507" s="386">
        <v>0</v>
      </c>
      <c r="K507" s="386">
        <v>0</v>
      </c>
      <c r="L507" s="387" t="s">
        <v>464</v>
      </c>
    </row>
    <row r="508" spans="1:12" hidden="1">
      <c r="A508" s="385" t="s">
        <v>435</v>
      </c>
      <c r="B508" s="385" t="s">
        <v>436</v>
      </c>
      <c r="C508" s="385" t="s">
        <v>532</v>
      </c>
      <c r="D508" s="385" t="s">
        <v>380</v>
      </c>
      <c r="E508" s="385" t="s">
        <v>19</v>
      </c>
      <c r="F508" s="385" t="s">
        <v>463</v>
      </c>
      <c r="G508" s="385" t="s">
        <v>19</v>
      </c>
      <c r="H508" s="386">
        <v>0</v>
      </c>
      <c r="I508" s="386">
        <v>0</v>
      </c>
      <c r="J508" s="386">
        <v>0</v>
      </c>
      <c r="K508" s="386">
        <v>0</v>
      </c>
      <c r="L508" s="387" t="s">
        <v>464</v>
      </c>
    </row>
    <row r="509" spans="1:12" hidden="1">
      <c r="A509" s="385" t="s">
        <v>435</v>
      </c>
      <c r="B509" s="385" t="s">
        <v>436</v>
      </c>
      <c r="C509" s="385" t="s">
        <v>532</v>
      </c>
      <c r="D509" s="385" t="s">
        <v>380</v>
      </c>
      <c r="E509" s="385" t="s">
        <v>19</v>
      </c>
      <c r="F509" s="385" t="s">
        <v>463</v>
      </c>
      <c r="G509" s="385" t="s">
        <v>12</v>
      </c>
      <c r="H509" s="386">
        <v>0</v>
      </c>
      <c r="I509" s="386">
        <v>20000</v>
      </c>
      <c r="J509" s="386">
        <v>0</v>
      </c>
      <c r="K509" s="386">
        <v>13903.93</v>
      </c>
      <c r="L509" s="387" t="s">
        <v>464</v>
      </c>
    </row>
    <row r="510" spans="1:12" hidden="1">
      <c r="A510" s="385" t="s">
        <v>435</v>
      </c>
      <c r="B510" s="385" t="s">
        <v>436</v>
      </c>
      <c r="C510" s="385" t="s">
        <v>533</v>
      </c>
      <c r="D510" s="385" t="s">
        <v>380</v>
      </c>
      <c r="E510" s="385" t="s">
        <v>19</v>
      </c>
      <c r="F510" s="385" t="s">
        <v>463</v>
      </c>
      <c r="G510" s="385" t="s">
        <v>19</v>
      </c>
      <c r="H510" s="386">
        <v>0</v>
      </c>
      <c r="I510" s="386">
        <v>0</v>
      </c>
      <c r="J510" s="386">
        <v>0</v>
      </c>
      <c r="K510" s="386">
        <v>0</v>
      </c>
      <c r="L510" s="387" t="s">
        <v>464</v>
      </c>
    </row>
    <row r="511" spans="1:12" hidden="1">
      <c r="A511" s="385" t="s">
        <v>435</v>
      </c>
      <c r="B511" s="385" t="s">
        <v>436</v>
      </c>
      <c r="C511" s="385" t="s">
        <v>533</v>
      </c>
      <c r="D511" s="385" t="s">
        <v>380</v>
      </c>
      <c r="E511" s="385" t="s">
        <v>19</v>
      </c>
      <c r="F511" s="385" t="s">
        <v>463</v>
      </c>
      <c r="G511" s="385" t="s">
        <v>12</v>
      </c>
      <c r="H511" s="386">
        <v>0</v>
      </c>
      <c r="I511" s="386">
        <v>35000</v>
      </c>
      <c r="J511" s="386">
        <v>0</v>
      </c>
      <c r="K511" s="386">
        <v>17719.939999999999</v>
      </c>
      <c r="L511" s="387" t="s">
        <v>464</v>
      </c>
    </row>
    <row r="512" spans="1:12" hidden="1">
      <c r="A512" s="385" t="s">
        <v>435</v>
      </c>
      <c r="B512" s="385" t="s">
        <v>436</v>
      </c>
      <c r="C512" s="385" t="s">
        <v>534</v>
      </c>
      <c r="D512" s="385" t="s">
        <v>380</v>
      </c>
      <c r="E512" s="385" t="s">
        <v>19</v>
      </c>
      <c r="F512" s="385" t="s">
        <v>463</v>
      </c>
      <c r="G512" s="385" t="s">
        <v>19</v>
      </c>
      <c r="H512" s="386">
        <v>0</v>
      </c>
      <c r="I512" s="386">
        <v>0</v>
      </c>
      <c r="J512" s="386">
        <v>0</v>
      </c>
      <c r="K512" s="386">
        <v>0</v>
      </c>
      <c r="L512" s="387" t="s">
        <v>464</v>
      </c>
    </row>
    <row r="513" spans="1:12" hidden="1">
      <c r="A513" s="385" t="s">
        <v>435</v>
      </c>
      <c r="B513" s="385" t="s">
        <v>436</v>
      </c>
      <c r="C513" s="385" t="s">
        <v>534</v>
      </c>
      <c r="D513" s="385" t="s">
        <v>380</v>
      </c>
      <c r="E513" s="385" t="s">
        <v>19</v>
      </c>
      <c r="F513" s="385" t="s">
        <v>463</v>
      </c>
      <c r="G513" s="385" t="s">
        <v>12</v>
      </c>
      <c r="H513" s="386">
        <v>0</v>
      </c>
      <c r="I513" s="386">
        <v>449</v>
      </c>
      <c r="J513" s="386">
        <v>0</v>
      </c>
      <c r="K513" s="386">
        <v>149</v>
      </c>
      <c r="L513" s="387" t="s">
        <v>464</v>
      </c>
    </row>
    <row r="514" spans="1:12" hidden="1">
      <c r="A514" s="385" t="s">
        <v>435</v>
      </c>
      <c r="B514" s="385" t="s">
        <v>436</v>
      </c>
      <c r="C514" s="385" t="s">
        <v>535</v>
      </c>
      <c r="D514" s="385" t="s">
        <v>380</v>
      </c>
      <c r="E514" s="385" t="s">
        <v>19</v>
      </c>
      <c r="F514" s="385" t="s">
        <v>463</v>
      </c>
      <c r="G514" s="385" t="s">
        <v>12</v>
      </c>
      <c r="H514" s="386">
        <v>0</v>
      </c>
      <c r="I514" s="386">
        <v>4085.1</v>
      </c>
      <c r="J514" s="386">
        <v>0</v>
      </c>
      <c r="K514" s="386">
        <v>3063.82</v>
      </c>
      <c r="L514" s="387" t="s">
        <v>464</v>
      </c>
    </row>
    <row r="515" spans="1:12" hidden="1">
      <c r="A515" s="385" t="s">
        <v>435</v>
      </c>
      <c r="B515" s="385" t="s">
        <v>436</v>
      </c>
      <c r="C515" s="385" t="s">
        <v>535</v>
      </c>
      <c r="D515" s="385" t="s">
        <v>380</v>
      </c>
      <c r="E515" s="385" t="s">
        <v>19</v>
      </c>
      <c r="F515" s="385" t="s">
        <v>463</v>
      </c>
      <c r="G515" s="385" t="s">
        <v>19</v>
      </c>
      <c r="H515" s="386">
        <v>0</v>
      </c>
      <c r="I515" s="386">
        <v>0</v>
      </c>
      <c r="J515" s="386">
        <v>0</v>
      </c>
      <c r="K515" s="386">
        <v>0</v>
      </c>
      <c r="L515" s="387" t="s">
        <v>464</v>
      </c>
    </row>
    <row r="516" spans="1:12" hidden="1">
      <c r="A516" s="385" t="s">
        <v>435</v>
      </c>
      <c r="B516" s="385" t="s">
        <v>436</v>
      </c>
      <c r="C516" s="385" t="s">
        <v>546</v>
      </c>
      <c r="D516" s="385" t="s">
        <v>380</v>
      </c>
      <c r="E516" s="385" t="s">
        <v>19</v>
      </c>
      <c r="F516" s="385" t="s">
        <v>463</v>
      </c>
      <c r="G516" s="385" t="s">
        <v>19</v>
      </c>
      <c r="H516" s="386">
        <v>0</v>
      </c>
      <c r="I516" s="386">
        <v>0</v>
      </c>
      <c r="J516" s="386">
        <v>0</v>
      </c>
      <c r="K516" s="386">
        <v>0</v>
      </c>
      <c r="L516" s="387" t="s">
        <v>464</v>
      </c>
    </row>
    <row r="517" spans="1:12" hidden="1">
      <c r="A517" s="385" t="s">
        <v>435</v>
      </c>
      <c r="B517" s="385" t="s">
        <v>436</v>
      </c>
      <c r="C517" s="385" t="s">
        <v>546</v>
      </c>
      <c r="D517" s="385" t="s">
        <v>380</v>
      </c>
      <c r="E517" s="385" t="s">
        <v>19</v>
      </c>
      <c r="F517" s="385" t="s">
        <v>463</v>
      </c>
      <c r="G517" s="385" t="s">
        <v>12</v>
      </c>
      <c r="H517" s="386">
        <v>0</v>
      </c>
      <c r="I517" s="386">
        <v>25753</v>
      </c>
      <c r="J517" s="386">
        <v>0</v>
      </c>
      <c r="K517" s="386">
        <v>17173</v>
      </c>
      <c r="L517" s="387" t="s">
        <v>464</v>
      </c>
    </row>
    <row r="518" spans="1:12" hidden="1">
      <c r="A518" s="385" t="s">
        <v>435</v>
      </c>
      <c r="B518" s="385" t="s">
        <v>436</v>
      </c>
      <c r="C518" s="385" t="s">
        <v>537</v>
      </c>
      <c r="D518" s="385" t="s">
        <v>380</v>
      </c>
      <c r="E518" s="385" t="s">
        <v>19</v>
      </c>
      <c r="F518" s="385" t="s">
        <v>463</v>
      </c>
      <c r="G518" s="385" t="s">
        <v>19</v>
      </c>
      <c r="H518" s="386">
        <v>0</v>
      </c>
      <c r="I518" s="386">
        <v>0</v>
      </c>
      <c r="J518" s="386">
        <v>0</v>
      </c>
      <c r="K518" s="386">
        <v>0</v>
      </c>
      <c r="L518" s="387" t="s">
        <v>464</v>
      </c>
    </row>
    <row r="519" spans="1:12" hidden="1">
      <c r="A519" s="385" t="s">
        <v>435</v>
      </c>
      <c r="B519" s="385" t="s">
        <v>436</v>
      </c>
      <c r="C519" s="385" t="s">
        <v>537</v>
      </c>
      <c r="D519" s="385" t="s">
        <v>380</v>
      </c>
      <c r="E519" s="385" t="s">
        <v>19</v>
      </c>
      <c r="F519" s="385" t="s">
        <v>463</v>
      </c>
      <c r="G519" s="385" t="s">
        <v>12</v>
      </c>
      <c r="H519" s="386">
        <v>0</v>
      </c>
      <c r="I519" s="386">
        <v>300</v>
      </c>
      <c r="J519" s="386">
        <v>0</v>
      </c>
      <c r="K519" s="386">
        <v>268.33</v>
      </c>
      <c r="L519" s="387" t="s">
        <v>464</v>
      </c>
    </row>
    <row r="520" spans="1:12" ht="25.5" hidden="1">
      <c r="A520" s="385" t="s">
        <v>435</v>
      </c>
      <c r="B520" s="385" t="s">
        <v>436</v>
      </c>
      <c r="C520" s="385" t="s">
        <v>681</v>
      </c>
      <c r="D520" s="385" t="s">
        <v>380</v>
      </c>
      <c r="E520" s="385" t="s">
        <v>19</v>
      </c>
      <c r="F520" s="385" t="s">
        <v>392</v>
      </c>
      <c r="G520" s="385" t="s">
        <v>19</v>
      </c>
      <c r="H520" s="386">
        <v>0</v>
      </c>
      <c r="I520" s="386">
        <v>0</v>
      </c>
      <c r="J520" s="386">
        <v>0</v>
      </c>
      <c r="K520" s="386">
        <v>0</v>
      </c>
      <c r="L520" s="387" t="s">
        <v>393</v>
      </c>
    </row>
    <row r="521" spans="1:12" ht="25.5" hidden="1">
      <c r="A521" s="385" t="s">
        <v>435</v>
      </c>
      <c r="B521" s="385" t="s">
        <v>573</v>
      </c>
      <c r="C521" s="385" t="s">
        <v>521</v>
      </c>
      <c r="D521" s="385" t="s">
        <v>380</v>
      </c>
      <c r="E521" s="385" t="s">
        <v>19</v>
      </c>
      <c r="F521" s="385" t="s">
        <v>392</v>
      </c>
      <c r="G521" s="385" t="s">
        <v>19</v>
      </c>
      <c r="H521" s="386">
        <v>0</v>
      </c>
      <c r="I521" s="386">
        <v>500</v>
      </c>
      <c r="J521" s="386">
        <v>0</v>
      </c>
      <c r="K521" s="386">
        <v>0</v>
      </c>
      <c r="L521" s="387" t="s">
        <v>393</v>
      </c>
    </row>
    <row r="522" spans="1:12" ht="25.5" hidden="1">
      <c r="A522" s="385" t="s">
        <v>435</v>
      </c>
      <c r="B522" s="385" t="s">
        <v>573</v>
      </c>
      <c r="C522" s="385" t="s">
        <v>523</v>
      </c>
      <c r="D522" s="385" t="s">
        <v>380</v>
      </c>
      <c r="E522" s="385" t="s">
        <v>19</v>
      </c>
      <c r="F522" s="385" t="s">
        <v>392</v>
      </c>
      <c r="G522" s="385" t="s">
        <v>19</v>
      </c>
      <c r="H522" s="386">
        <v>0</v>
      </c>
      <c r="I522" s="386">
        <v>155813</v>
      </c>
      <c r="J522" s="386">
        <v>0</v>
      </c>
      <c r="K522" s="386">
        <v>122869.13</v>
      </c>
      <c r="L522" s="387" t="s">
        <v>393</v>
      </c>
    </row>
    <row r="523" spans="1:12" ht="25.5" hidden="1">
      <c r="A523" s="385" t="s">
        <v>435</v>
      </c>
      <c r="B523" s="385" t="s">
        <v>573</v>
      </c>
      <c r="C523" s="385" t="s">
        <v>524</v>
      </c>
      <c r="D523" s="385" t="s">
        <v>380</v>
      </c>
      <c r="E523" s="385" t="s">
        <v>19</v>
      </c>
      <c r="F523" s="385" t="s">
        <v>392</v>
      </c>
      <c r="G523" s="385" t="s">
        <v>19</v>
      </c>
      <c r="H523" s="386">
        <v>0</v>
      </c>
      <c r="I523" s="386">
        <v>13774</v>
      </c>
      <c r="J523" s="386">
        <v>0</v>
      </c>
      <c r="K523" s="386">
        <v>13089.64</v>
      </c>
      <c r="L523" s="387" t="s">
        <v>393</v>
      </c>
    </row>
    <row r="524" spans="1:12" ht="25.5" hidden="1">
      <c r="A524" s="385" t="s">
        <v>435</v>
      </c>
      <c r="B524" s="385" t="s">
        <v>573</v>
      </c>
      <c r="C524" s="385" t="s">
        <v>525</v>
      </c>
      <c r="D524" s="385" t="s">
        <v>380</v>
      </c>
      <c r="E524" s="385" t="s">
        <v>19</v>
      </c>
      <c r="F524" s="385" t="s">
        <v>392</v>
      </c>
      <c r="G524" s="385" t="s">
        <v>19</v>
      </c>
      <c r="H524" s="386">
        <v>0</v>
      </c>
      <c r="I524" s="386">
        <v>26514</v>
      </c>
      <c r="J524" s="386">
        <v>0</v>
      </c>
      <c r="K524" s="386">
        <v>20559.68</v>
      </c>
      <c r="L524" s="387" t="s">
        <v>393</v>
      </c>
    </row>
    <row r="525" spans="1:12" ht="25.5" hidden="1">
      <c r="A525" s="385" t="s">
        <v>435</v>
      </c>
      <c r="B525" s="385" t="s">
        <v>573</v>
      </c>
      <c r="C525" s="385" t="s">
        <v>526</v>
      </c>
      <c r="D525" s="385" t="s">
        <v>380</v>
      </c>
      <c r="E525" s="385" t="s">
        <v>19</v>
      </c>
      <c r="F525" s="385" t="s">
        <v>392</v>
      </c>
      <c r="G525" s="385" t="s">
        <v>19</v>
      </c>
      <c r="H525" s="386">
        <v>0</v>
      </c>
      <c r="I525" s="386">
        <v>3837</v>
      </c>
      <c r="J525" s="386">
        <v>0</v>
      </c>
      <c r="K525" s="386">
        <v>2217.64</v>
      </c>
      <c r="L525" s="387" t="s">
        <v>393</v>
      </c>
    </row>
    <row r="526" spans="1:12" ht="25.5" hidden="1">
      <c r="A526" s="385" t="s">
        <v>435</v>
      </c>
      <c r="B526" s="385" t="s">
        <v>573</v>
      </c>
      <c r="C526" s="385" t="s">
        <v>531</v>
      </c>
      <c r="D526" s="385" t="s">
        <v>380</v>
      </c>
      <c r="E526" s="385" t="s">
        <v>19</v>
      </c>
      <c r="F526" s="385" t="s">
        <v>392</v>
      </c>
      <c r="G526" s="385" t="s">
        <v>19</v>
      </c>
      <c r="H526" s="386">
        <v>0</v>
      </c>
      <c r="I526" s="386">
        <v>175</v>
      </c>
      <c r="J526" s="386">
        <v>0</v>
      </c>
      <c r="K526" s="386">
        <v>105</v>
      </c>
      <c r="L526" s="387" t="s">
        <v>393</v>
      </c>
    </row>
    <row r="527" spans="1:12" ht="25.5" hidden="1">
      <c r="A527" s="385" t="s">
        <v>435</v>
      </c>
      <c r="B527" s="385" t="s">
        <v>573</v>
      </c>
      <c r="C527" s="385" t="s">
        <v>533</v>
      </c>
      <c r="D527" s="385" t="s">
        <v>380</v>
      </c>
      <c r="E527" s="385" t="s">
        <v>19</v>
      </c>
      <c r="F527" s="385" t="s">
        <v>392</v>
      </c>
      <c r="G527" s="385" t="s">
        <v>19</v>
      </c>
      <c r="H527" s="386">
        <v>0</v>
      </c>
      <c r="I527" s="386">
        <v>0</v>
      </c>
      <c r="J527" s="386">
        <v>0</v>
      </c>
      <c r="K527" s="386">
        <v>0</v>
      </c>
      <c r="L527" s="387" t="s">
        <v>393</v>
      </c>
    </row>
    <row r="528" spans="1:12" ht="25.5" hidden="1">
      <c r="A528" s="385" t="s">
        <v>435</v>
      </c>
      <c r="B528" s="385" t="s">
        <v>573</v>
      </c>
      <c r="C528" s="385" t="s">
        <v>535</v>
      </c>
      <c r="D528" s="385" t="s">
        <v>380</v>
      </c>
      <c r="E528" s="385" t="s">
        <v>19</v>
      </c>
      <c r="F528" s="385" t="s">
        <v>392</v>
      </c>
      <c r="G528" s="385" t="s">
        <v>19</v>
      </c>
      <c r="H528" s="386">
        <v>0</v>
      </c>
      <c r="I528" s="386">
        <v>4085.1</v>
      </c>
      <c r="J528" s="386">
        <v>0</v>
      </c>
      <c r="K528" s="386">
        <v>3063.83</v>
      </c>
      <c r="L528" s="387" t="s">
        <v>393</v>
      </c>
    </row>
    <row r="529" spans="1:12" ht="25.5" hidden="1">
      <c r="A529" s="385" t="s">
        <v>435</v>
      </c>
      <c r="B529" s="385" t="s">
        <v>573</v>
      </c>
      <c r="C529" s="385" t="s">
        <v>540</v>
      </c>
      <c r="D529" s="385" t="s">
        <v>380</v>
      </c>
      <c r="E529" s="385" t="s">
        <v>19</v>
      </c>
      <c r="F529" s="385" t="s">
        <v>392</v>
      </c>
      <c r="G529" s="385" t="s">
        <v>19</v>
      </c>
      <c r="H529" s="386">
        <v>0</v>
      </c>
      <c r="I529" s="386">
        <v>1000</v>
      </c>
      <c r="J529" s="386">
        <v>0</v>
      </c>
      <c r="K529" s="386">
        <v>155.25</v>
      </c>
      <c r="L529" s="387" t="s">
        <v>393</v>
      </c>
    </row>
    <row r="530" spans="1:12" ht="25.5" hidden="1">
      <c r="A530" s="385" t="s">
        <v>435</v>
      </c>
      <c r="B530" s="385" t="s">
        <v>573</v>
      </c>
      <c r="C530" s="385" t="s">
        <v>548</v>
      </c>
      <c r="D530" s="385" t="s">
        <v>380</v>
      </c>
      <c r="E530" s="385" t="s">
        <v>19</v>
      </c>
      <c r="F530" s="385" t="s">
        <v>392</v>
      </c>
      <c r="G530" s="385" t="s">
        <v>19</v>
      </c>
      <c r="H530" s="386">
        <v>0</v>
      </c>
      <c r="I530" s="386">
        <v>2397.61</v>
      </c>
      <c r="J530" s="386">
        <v>0</v>
      </c>
      <c r="K530" s="386">
        <v>1378.63</v>
      </c>
      <c r="L530" s="387" t="s">
        <v>393</v>
      </c>
    </row>
    <row r="531" spans="1:12" ht="25.5" hidden="1">
      <c r="A531" s="385" t="s">
        <v>435</v>
      </c>
      <c r="B531" s="385" t="s">
        <v>574</v>
      </c>
      <c r="C531" s="385" t="s">
        <v>528</v>
      </c>
      <c r="D531" s="385" t="s">
        <v>380</v>
      </c>
      <c r="E531" s="385" t="s">
        <v>19</v>
      </c>
      <c r="F531" s="385" t="s">
        <v>392</v>
      </c>
      <c r="G531" s="385" t="s">
        <v>19</v>
      </c>
      <c r="H531" s="386">
        <v>0</v>
      </c>
      <c r="I531" s="386">
        <v>4540.6099999999997</v>
      </c>
      <c r="J531" s="386">
        <v>0</v>
      </c>
      <c r="K531" s="386">
        <v>0</v>
      </c>
      <c r="L531" s="387" t="s">
        <v>393</v>
      </c>
    </row>
    <row r="532" spans="1:12" ht="25.5" hidden="1">
      <c r="A532" s="385" t="s">
        <v>435</v>
      </c>
      <c r="B532" s="385" t="s">
        <v>574</v>
      </c>
      <c r="C532" s="385" t="s">
        <v>534</v>
      </c>
      <c r="D532" s="385" t="s">
        <v>380</v>
      </c>
      <c r="E532" s="385" t="s">
        <v>19</v>
      </c>
      <c r="F532" s="385" t="s">
        <v>392</v>
      </c>
      <c r="G532" s="385" t="s">
        <v>19</v>
      </c>
      <c r="H532" s="386">
        <v>0</v>
      </c>
      <c r="I532" s="386">
        <v>4000</v>
      </c>
      <c r="J532" s="386">
        <v>0</v>
      </c>
      <c r="K532" s="386">
        <v>4000</v>
      </c>
      <c r="L532" s="387" t="s">
        <v>393</v>
      </c>
    </row>
    <row r="533" spans="1:12" ht="25.5" hidden="1">
      <c r="A533" s="385" t="s">
        <v>252</v>
      </c>
      <c r="B533" s="385" t="s">
        <v>253</v>
      </c>
      <c r="C533" s="385" t="s">
        <v>415</v>
      </c>
      <c r="D533" s="385" t="s">
        <v>380</v>
      </c>
      <c r="E533" s="385" t="s">
        <v>19</v>
      </c>
      <c r="F533" s="385" t="s">
        <v>392</v>
      </c>
      <c r="G533" s="385" t="s">
        <v>12</v>
      </c>
      <c r="H533" s="386">
        <v>0</v>
      </c>
      <c r="I533" s="386">
        <v>137706.20000000001</v>
      </c>
      <c r="J533" s="386">
        <v>0</v>
      </c>
      <c r="K533" s="386">
        <v>77764.960000000006</v>
      </c>
      <c r="L533" s="387" t="s">
        <v>393</v>
      </c>
    </row>
    <row r="534" spans="1:12" ht="25.5" hidden="1">
      <c r="A534" s="385" t="s">
        <v>252</v>
      </c>
      <c r="B534" s="385" t="s">
        <v>253</v>
      </c>
      <c r="C534" s="385" t="s">
        <v>523</v>
      </c>
      <c r="D534" s="385" t="s">
        <v>380</v>
      </c>
      <c r="E534" s="385" t="s">
        <v>19</v>
      </c>
      <c r="F534" s="385" t="s">
        <v>392</v>
      </c>
      <c r="G534" s="385" t="s">
        <v>12</v>
      </c>
      <c r="H534" s="386">
        <v>0</v>
      </c>
      <c r="I534" s="386">
        <v>6000</v>
      </c>
      <c r="J534" s="386">
        <v>0</v>
      </c>
      <c r="K534" s="386">
        <v>3000</v>
      </c>
      <c r="L534" s="387" t="s">
        <v>393</v>
      </c>
    </row>
    <row r="535" spans="1:12" ht="25.5" hidden="1">
      <c r="A535" s="385" t="s">
        <v>252</v>
      </c>
      <c r="B535" s="385" t="s">
        <v>253</v>
      </c>
      <c r="C535" s="385" t="s">
        <v>524</v>
      </c>
      <c r="D535" s="385" t="s">
        <v>380</v>
      </c>
      <c r="E535" s="385" t="s">
        <v>19</v>
      </c>
      <c r="F535" s="385" t="s">
        <v>392</v>
      </c>
      <c r="G535" s="385" t="s">
        <v>12</v>
      </c>
      <c r="H535" s="386">
        <v>0</v>
      </c>
      <c r="I535" s="386">
        <v>510</v>
      </c>
      <c r="J535" s="386">
        <v>0</v>
      </c>
      <c r="K535" s="386">
        <v>510</v>
      </c>
      <c r="L535" s="387" t="s">
        <v>393</v>
      </c>
    </row>
    <row r="536" spans="1:12" ht="25.5" hidden="1">
      <c r="A536" s="385" t="s">
        <v>252</v>
      </c>
      <c r="B536" s="385" t="s">
        <v>253</v>
      </c>
      <c r="C536" s="385" t="s">
        <v>525</v>
      </c>
      <c r="D536" s="385" t="s">
        <v>380</v>
      </c>
      <c r="E536" s="385" t="s">
        <v>19</v>
      </c>
      <c r="F536" s="385" t="s">
        <v>392</v>
      </c>
      <c r="G536" s="385" t="s">
        <v>12</v>
      </c>
      <c r="H536" s="386">
        <v>0</v>
      </c>
      <c r="I536" s="386">
        <v>1102.1400000000001</v>
      </c>
      <c r="J536" s="386">
        <v>0</v>
      </c>
      <c r="K536" s="386">
        <v>594.25</v>
      </c>
      <c r="L536" s="387" t="s">
        <v>393</v>
      </c>
    </row>
    <row r="537" spans="1:12" ht="25.5" hidden="1">
      <c r="A537" s="385" t="s">
        <v>252</v>
      </c>
      <c r="B537" s="385" t="s">
        <v>253</v>
      </c>
      <c r="C537" s="385" t="s">
        <v>526</v>
      </c>
      <c r="D537" s="385" t="s">
        <v>380</v>
      </c>
      <c r="E537" s="385" t="s">
        <v>19</v>
      </c>
      <c r="F537" s="385" t="s">
        <v>392</v>
      </c>
      <c r="G537" s="385" t="s">
        <v>12</v>
      </c>
      <c r="H537" s="386">
        <v>0</v>
      </c>
      <c r="I537" s="386">
        <v>159.5</v>
      </c>
      <c r="J537" s="386">
        <v>0</v>
      </c>
      <c r="K537" s="386">
        <v>86</v>
      </c>
      <c r="L537" s="387" t="s">
        <v>393</v>
      </c>
    </row>
    <row r="538" spans="1:12" ht="25.5" hidden="1">
      <c r="A538" s="385" t="s">
        <v>252</v>
      </c>
      <c r="B538" s="385" t="s">
        <v>253</v>
      </c>
      <c r="C538" s="385" t="s">
        <v>528</v>
      </c>
      <c r="D538" s="385" t="s">
        <v>380</v>
      </c>
      <c r="E538" s="385" t="s">
        <v>19</v>
      </c>
      <c r="F538" s="385" t="s">
        <v>392</v>
      </c>
      <c r="G538" s="385" t="s">
        <v>12</v>
      </c>
      <c r="H538" s="386">
        <v>0</v>
      </c>
      <c r="I538" s="386">
        <v>1215.3900000000001</v>
      </c>
      <c r="J538" s="386">
        <v>0</v>
      </c>
      <c r="K538" s="386">
        <v>203.34</v>
      </c>
      <c r="L538" s="387" t="s">
        <v>393</v>
      </c>
    </row>
    <row r="539" spans="1:12" ht="25.5" hidden="1">
      <c r="A539" s="385" t="s">
        <v>252</v>
      </c>
      <c r="B539" s="385" t="s">
        <v>253</v>
      </c>
      <c r="C539" s="385" t="s">
        <v>530</v>
      </c>
      <c r="D539" s="385" t="s">
        <v>380</v>
      </c>
      <c r="E539" s="385" t="s">
        <v>19</v>
      </c>
      <c r="F539" s="385" t="s">
        <v>392</v>
      </c>
      <c r="G539" s="385" t="s">
        <v>12</v>
      </c>
      <c r="H539" s="386">
        <v>0</v>
      </c>
      <c r="I539" s="386">
        <v>1600</v>
      </c>
      <c r="J539" s="386">
        <v>0</v>
      </c>
      <c r="K539" s="386">
        <v>868.71</v>
      </c>
      <c r="L539" s="387" t="s">
        <v>393</v>
      </c>
    </row>
    <row r="540" spans="1:12" ht="25.5" hidden="1">
      <c r="A540" s="385" t="s">
        <v>252</v>
      </c>
      <c r="B540" s="385" t="s">
        <v>253</v>
      </c>
      <c r="C540" s="385" t="s">
        <v>510</v>
      </c>
      <c r="D540" s="385" t="s">
        <v>380</v>
      </c>
      <c r="E540" s="385" t="s">
        <v>19</v>
      </c>
      <c r="F540" s="385" t="s">
        <v>392</v>
      </c>
      <c r="G540" s="385" t="s">
        <v>12</v>
      </c>
      <c r="H540" s="386">
        <v>0</v>
      </c>
      <c r="I540" s="386">
        <v>70853.119999999995</v>
      </c>
      <c r="J540" s="386">
        <v>0</v>
      </c>
      <c r="K540" s="386">
        <v>33623.519999999997</v>
      </c>
      <c r="L540" s="387" t="s">
        <v>393</v>
      </c>
    </row>
    <row r="541" spans="1:12" ht="25.5" hidden="1">
      <c r="A541" s="385" t="s">
        <v>252</v>
      </c>
      <c r="B541" s="385" t="s">
        <v>253</v>
      </c>
      <c r="C541" s="385" t="s">
        <v>533</v>
      </c>
      <c r="D541" s="385" t="s">
        <v>380</v>
      </c>
      <c r="E541" s="385" t="s">
        <v>19</v>
      </c>
      <c r="F541" s="385" t="s">
        <v>392</v>
      </c>
      <c r="G541" s="385" t="s">
        <v>12</v>
      </c>
      <c r="H541" s="386">
        <v>0</v>
      </c>
      <c r="I541" s="386">
        <v>500</v>
      </c>
      <c r="J541" s="386">
        <v>0</v>
      </c>
      <c r="K541" s="386">
        <v>0</v>
      </c>
      <c r="L541" s="387" t="s">
        <v>393</v>
      </c>
    </row>
    <row r="542" spans="1:12" ht="25.5" hidden="1">
      <c r="A542" s="385" t="s">
        <v>252</v>
      </c>
      <c r="B542" s="385" t="s">
        <v>253</v>
      </c>
      <c r="C542" s="385" t="s">
        <v>548</v>
      </c>
      <c r="D542" s="385" t="s">
        <v>380</v>
      </c>
      <c r="E542" s="385" t="s">
        <v>19</v>
      </c>
      <c r="F542" s="385" t="s">
        <v>392</v>
      </c>
      <c r="G542" s="385" t="s">
        <v>12</v>
      </c>
      <c r="H542" s="386">
        <v>0</v>
      </c>
      <c r="I542" s="386">
        <v>97.65</v>
      </c>
      <c r="J542" s="386">
        <v>0</v>
      </c>
      <c r="K542" s="386">
        <v>52.65</v>
      </c>
      <c r="L542" s="387" t="s">
        <v>393</v>
      </c>
    </row>
    <row r="543" spans="1:12" hidden="1">
      <c r="A543" s="385" t="s">
        <v>575</v>
      </c>
      <c r="B543" s="385" t="s">
        <v>576</v>
      </c>
      <c r="C543" s="385" t="s">
        <v>577</v>
      </c>
      <c r="D543" s="385" t="s">
        <v>380</v>
      </c>
      <c r="E543" s="385" t="s">
        <v>19</v>
      </c>
      <c r="F543" s="385" t="s">
        <v>386</v>
      </c>
      <c r="G543" s="385" t="s">
        <v>19</v>
      </c>
      <c r="H543" s="386">
        <v>0</v>
      </c>
      <c r="I543" s="386">
        <v>80000</v>
      </c>
      <c r="J543" s="386">
        <v>0</v>
      </c>
      <c r="K543" s="386">
        <v>78865</v>
      </c>
      <c r="L543" s="387" t="s">
        <v>387</v>
      </c>
    </row>
    <row r="544" spans="1:12" hidden="1">
      <c r="A544" s="385" t="s">
        <v>575</v>
      </c>
      <c r="B544" s="385" t="s">
        <v>576</v>
      </c>
      <c r="C544" s="385" t="s">
        <v>578</v>
      </c>
      <c r="D544" s="385" t="s">
        <v>380</v>
      </c>
      <c r="E544" s="385" t="s">
        <v>19</v>
      </c>
      <c r="F544" s="385" t="s">
        <v>386</v>
      </c>
      <c r="G544" s="385" t="s">
        <v>19</v>
      </c>
      <c r="H544" s="386">
        <v>0</v>
      </c>
      <c r="I544" s="386">
        <v>2350000</v>
      </c>
      <c r="J544" s="386">
        <v>0</v>
      </c>
      <c r="K544" s="386">
        <v>1112820</v>
      </c>
      <c r="L544" s="387" t="s">
        <v>387</v>
      </c>
    </row>
    <row r="545" spans="1:12" hidden="1">
      <c r="A545" s="385" t="s">
        <v>452</v>
      </c>
      <c r="B545" s="385" t="s">
        <v>579</v>
      </c>
      <c r="C545" s="385" t="s">
        <v>580</v>
      </c>
      <c r="D545" s="385" t="s">
        <v>380</v>
      </c>
      <c r="E545" s="385" t="s">
        <v>19</v>
      </c>
      <c r="F545" s="385" t="s">
        <v>585</v>
      </c>
      <c r="G545" s="385" t="s">
        <v>19</v>
      </c>
      <c r="H545" s="386">
        <v>0</v>
      </c>
      <c r="I545" s="386">
        <v>130514.94</v>
      </c>
      <c r="J545" s="386">
        <v>0</v>
      </c>
      <c r="K545" s="386">
        <v>0</v>
      </c>
      <c r="L545" s="387" t="s">
        <v>586</v>
      </c>
    </row>
    <row r="546" spans="1:12" ht="25.5" hidden="1">
      <c r="A546" s="385" t="s">
        <v>452</v>
      </c>
      <c r="B546" s="385" t="s">
        <v>579</v>
      </c>
      <c r="C546" s="385" t="s">
        <v>580</v>
      </c>
      <c r="D546" s="385" t="s">
        <v>380</v>
      </c>
      <c r="E546" s="385" t="s">
        <v>19</v>
      </c>
      <c r="F546" s="385" t="s">
        <v>583</v>
      </c>
      <c r="G546" s="385" t="s">
        <v>19</v>
      </c>
      <c r="H546" s="386">
        <v>0</v>
      </c>
      <c r="I546" s="386">
        <v>250000</v>
      </c>
      <c r="J546" s="386">
        <v>0</v>
      </c>
      <c r="K546" s="386">
        <v>0</v>
      </c>
      <c r="L546" s="387" t="s">
        <v>584</v>
      </c>
    </row>
    <row r="547" spans="1:12" hidden="1">
      <c r="A547" s="385" t="s">
        <v>452</v>
      </c>
      <c r="B547" s="385" t="s">
        <v>579</v>
      </c>
      <c r="C547" s="385" t="s">
        <v>580</v>
      </c>
      <c r="D547" s="385" t="s">
        <v>380</v>
      </c>
      <c r="E547" s="385" t="s">
        <v>19</v>
      </c>
      <c r="F547" s="385" t="s">
        <v>587</v>
      </c>
      <c r="G547" s="385" t="s">
        <v>19</v>
      </c>
      <c r="H547" s="386">
        <v>0</v>
      </c>
      <c r="I547" s="386">
        <v>52235.040000000001</v>
      </c>
      <c r="J547" s="386">
        <v>0</v>
      </c>
      <c r="K547" s="386">
        <v>0</v>
      </c>
      <c r="L547" s="387" t="s">
        <v>588</v>
      </c>
    </row>
    <row r="548" spans="1:12" ht="25.5" hidden="1">
      <c r="A548" s="385" t="s">
        <v>452</v>
      </c>
      <c r="B548" s="385" t="s">
        <v>579</v>
      </c>
      <c r="C548" s="385" t="s">
        <v>580</v>
      </c>
      <c r="D548" s="385" t="s">
        <v>380</v>
      </c>
      <c r="E548" s="385" t="s">
        <v>19</v>
      </c>
      <c r="F548" s="385" t="s">
        <v>581</v>
      </c>
      <c r="G548" s="385" t="s">
        <v>19</v>
      </c>
      <c r="H548" s="386">
        <v>0</v>
      </c>
      <c r="I548" s="386">
        <v>499833</v>
      </c>
      <c r="J548" s="386">
        <v>0</v>
      </c>
      <c r="K548" s="386">
        <v>0</v>
      </c>
      <c r="L548" s="387" t="s">
        <v>582</v>
      </c>
    </row>
    <row r="549" spans="1:12" hidden="1">
      <c r="A549" s="385" t="s">
        <v>452</v>
      </c>
      <c r="B549" s="385" t="s">
        <v>579</v>
      </c>
      <c r="C549" s="385" t="s">
        <v>589</v>
      </c>
      <c r="D549" s="385" t="s">
        <v>380</v>
      </c>
      <c r="E549" s="385" t="s">
        <v>19</v>
      </c>
      <c r="F549" s="385" t="s">
        <v>386</v>
      </c>
      <c r="G549" s="385" t="s">
        <v>19</v>
      </c>
      <c r="H549" s="386">
        <v>0</v>
      </c>
      <c r="I549" s="386">
        <v>2025443.92</v>
      </c>
      <c r="J549" s="386">
        <v>0</v>
      </c>
      <c r="K549" s="386">
        <v>0</v>
      </c>
      <c r="L549" s="387" t="s">
        <v>387</v>
      </c>
    </row>
    <row r="550" spans="1:12" ht="25.5" hidden="1">
      <c r="A550" s="385" t="s">
        <v>345</v>
      </c>
      <c r="B550" s="385" t="s">
        <v>486</v>
      </c>
      <c r="C550" s="385" t="s">
        <v>599</v>
      </c>
      <c r="D550" s="385" t="s">
        <v>380</v>
      </c>
      <c r="E550" s="385" t="s">
        <v>19</v>
      </c>
      <c r="F550" s="385" t="s">
        <v>758</v>
      </c>
      <c r="G550" s="385" t="s">
        <v>19</v>
      </c>
      <c r="H550" s="386">
        <v>0</v>
      </c>
      <c r="I550" s="386">
        <v>2205570</v>
      </c>
      <c r="J550" s="386">
        <v>0</v>
      </c>
      <c r="K550" s="386">
        <v>1154294.6000000001</v>
      </c>
      <c r="L550" s="387" t="s">
        <v>759</v>
      </c>
    </row>
    <row r="551" spans="1:12" hidden="1">
      <c r="A551" s="385" t="s">
        <v>345</v>
      </c>
      <c r="B551" s="385" t="s">
        <v>486</v>
      </c>
      <c r="C551" s="385" t="s">
        <v>599</v>
      </c>
      <c r="D551" s="385" t="s">
        <v>380</v>
      </c>
      <c r="E551" s="385" t="s">
        <v>19</v>
      </c>
      <c r="F551" s="385" t="s">
        <v>760</v>
      </c>
      <c r="G551" s="385" t="s">
        <v>19</v>
      </c>
      <c r="H551" s="386">
        <v>0</v>
      </c>
      <c r="I551" s="386">
        <v>0</v>
      </c>
      <c r="J551" s="386">
        <v>0</v>
      </c>
      <c r="K551" s="386">
        <v>0</v>
      </c>
      <c r="L551" s="387" t="s">
        <v>761</v>
      </c>
    </row>
    <row r="552" spans="1:12" ht="25.5" hidden="1">
      <c r="A552" s="385" t="s">
        <v>345</v>
      </c>
      <c r="B552" s="385" t="s">
        <v>486</v>
      </c>
      <c r="C552" s="385" t="s">
        <v>521</v>
      </c>
      <c r="D552" s="385" t="s">
        <v>380</v>
      </c>
      <c r="E552" s="385" t="s">
        <v>19</v>
      </c>
      <c r="F552" s="385" t="s">
        <v>477</v>
      </c>
      <c r="G552" s="385" t="s">
        <v>19</v>
      </c>
      <c r="H552" s="386">
        <v>0</v>
      </c>
      <c r="I552" s="386">
        <v>3774.42</v>
      </c>
      <c r="J552" s="386">
        <v>0</v>
      </c>
      <c r="K552" s="386">
        <v>3774.42</v>
      </c>
      <c r="L552" s="387" t="s">
        <v>478</v>
      </c>
    </row>
    <row r="553" spans="1:12" ht="25.5" hidden="1">
      <c r="A553" s="385" t="s">
        <v>345</v>
      </c>
      <c r="B553" s="385" t="s">
        <v>486</v>
      </c>
      <c r="C553" s="385" t="s">
        <v>521</v>
      </c>
      <c r="D553" s="385" t="s">
        <v>380</v>
      </c>
      <c r="E553" s="385" t="s">
        <v>19</v>
      </c>
      <c r="F553" s="385" t="s">
        <v>475</v>
      </c>
      <c r="G553" s="385" t="s">
        <v>19</v>
      </c>
      <c r="H553" s="386">
        <v>0</v>
      </c>
      <c r="I553" s="386">
        <v>1500</v>
      </c>
      <c r="J553" s="386">
        <v>0</v>
      </c>
      <c r="K553" s="386">
        <v>0</v>
      </c>
      <c r="L553" s="387" t="s">
        <v>476</v>
      </c>
    </row>
    <row r="554" spans="1:12" ht="25.5" hidden="1">
      <c r="A554" s="385" t="s">
        <v>345</v>
      </c>
      <c r="B554" s="385" t="s">
        <v>486</v>
      </c>
      <c r="C554" s="385" t="s">
        <v>523</v>
      </c>
      <c r="D554" s="385" t="s">
        <v>380</v>
      </c>
      <c r="E554" s="385" t="s">
        <v>19</v>
      </c>
      <c r="F554" s="385" t="s">
        <v>488</v>
      </c>
      <c r="G554" s="385" t="s">
        <v>19</v>
      </c>
      <c r="H554" s="386">
        <v>0</v>
      </c>
      <c r="I554" s="386">
        <v>38889</v>
      </c>
      <c r="J554" s="386">
        <v>0</v>
      </c>
      <c r="K554" s="386">
        <v>0</v>
      </c>
      <c r="L554" s="387" t="s">
        <v>489</v>
      </c>
    </row>
    <row r="555" spans="1:12" ht="25.5" hidden="1">
      <c r="A555" s="385" t="s">
        <v>345</v>
      </c>
      <c r="B555" s="385" t="s">
        <v>486</v>
      </c>
      <c r="C555" s="385" t="s">
        <v>523</v>
      </c>
      <c r="D555" s="385" t="s">
        <v>380</v>
      </c>
      <c r="E555" s="385" t="s">
        <v>19</v>
      </c>
      <c r="F555" s="385" t="s">
        <v>477</v>
      </c>
      <c r="G555" s="385" t="s">
        <v>19</v>
      </c>
      <c r="H555" s="386">
        <v>0</v>
      </c>
      <c r="I555" s="386">
        <v>868966.73</v>
      </c>
      <c r="J555" s="386">
        <v>0</v>
      </c>
      <c r="K555" s="386">
        <v>533181.68999999994</v>
      </c>
      <c r="L555" s="387" t="s">
        <v>478</v>
      </c>
    </row>
    <row r="556" spans="1:12" ht="25.5" hidden="1">
      <c r="A556" s="385" t="s">
        <v>345</v>
      </c>
      <c r="B556" s="385" t="s">
        <v>486</v>
      </c>
      <c r="C556" s="385" t="s">
        <v>523</v>
      </c>
      <c r="D556" s="385" t="s">
        <v>380</v>
      </c>
      <c r="E556" s="385" t="s">
        <v>19</v>
      </c>
      <c r="F556" s="385" t="s">
        <v>475</v>
      </c>
      <c r="G556" s="385" t="s">
        <v>19</v>
      </c>
      <c r="H556" s="386">
        <v>0</v>
      </c>
      <c r="I556" s="386">
        <v>181980</v>
      </c>
      <c r="J556" s="386">
        <v>0</v>
      </c>
      <c r="K556" s="386">
        <v>109979.11</v>
      </c>
      <c r="L556" s="387" t="s">
        <v>476</v>
      </c>
    </row>
    <row r="557" spans="1:12" ht="25.5" hidden="1">
      <c r="A557" s="385" t="s">
        <v>345</v>
      </c>
      <c r="B557" s="385" t="s">
        <v>486</v>
      </c>
      <c r="C557" s="385" t="s">
        <v>524</v>
      </c>
      <c r="D557" s="385" t="s">
        <v>380</v>
      </c>
      <c r="E557" s="385" t="s">
        <v>19</v>
      </c>
      <c r="F557" s="385" t="s">
        <v>477</v>
      </c>
      <c r="G557" s="385" t="s">
        <v>19</v>
      </c>
      <c r="H557" s="386">
        <v>0</v>
      </c>
      <c r="I557" s="386">
        <v>60689.27</v>
      </c>
      <c r="J557" s="386">
        <v>0</v>
      </c>
      <c r="K557" s="386">
        <v>60689.27</v>
      </c>
      <c r="L557" s="387" t="s">
        <v>478</v>
      </c>
    </row>
    <row r="558" spans="1:12" ht="25.5" hidden="1">
      <c r="A558" s="385" t="s">
        <v>345</v>
      </c>
      <c r="B558" s="385" t="s">
        <v>486</v>
      </c>
      <c r="C558" s="385" t="s">
        <v>524</v>
      </c>
      <c r="D558" s="385" t="s">
        <v>380</v>
      </c>
      <c r="E558" s="385" t="s">
        <v>19</v>
      </c>
      <c r="F558" s="385" t="s">
        <v>475</v>
      </c>
      <c r="G558" s="385" t="s">
        <v>19</v>
      </c>
      <c r="H558" s="386">
        <v>0</v>
      </c>
      <c r="I558" s="386">
        <v>12830</v>
      </c>
      <c r="J558" s="386">
        <v>0</v>
      </c>
      <c r="K558" s="386">
        <v>12651.12</v>
      </c>
      <c r="L558" s="387" t="s">
        <v>476</v>
      </c>
    </row>
    <row r="559" spans="1:12" ht="25.5" hidden="1">
      <c r="A559" s="385" t="s">
        <v>345</v>
      </c>
      <c r="B559" s="385" t="s">
        <v>486</v>
      </c>
      <c r="C559" s="385" t="s">
        <v>525</v>
      </c>
      <c r="D559" s="385" t="s">
        <v>380</v>
      </c>
      <c r="E559" s="385" t="s">
        <v>19</v>
      </c>
      <c r="F559" s="385" t="s">
        <v>488</v>
      </c>
      <c r="G559" s="385" t="s">
        <v>19</v>
      </c>
      <c r="H559" s="386">
        <v>0</v>
      </c>
      <c r="I559" s="386">
        <v>9793</v>
      </c>
      <c r="J559" s="386">
        <v>0</v>
      </c>
      <c r="K559" s="386">
        <v>0</v>
      </c>
      <c r="L559" s="387" t="s">
        <v>489</v>
      </c>
    </row>
    <row r="560" spans="1:12" ht="25.5" hidden="1">
      <c r="A560" s="385" t="s">
        <v>345</v>
      </c>
      <c r="B560" s="385" t="s">
        <v>486</v>
      </c>
      <c r="C560" s="385" t="s">
        <v>525</v>
      </c>
      <c r="D560" s="385" t="s">
        <v>380</v>
      </c>
      <c r="E560" s="385" t="s">
        <v>19</v>
      </c>
      <c r="F560" s="385" t="s">
        <v>475</v>
      </c>
      <c r="G560" s="385" t="s">
        <v>19</v>
      </c>
      <c r="H560" s="386">
        <v>0</v>
      </c>
      <c r="I560" s="386">
        <v>331748</v>
      </c>
      <c r="J560" s="386">
        <v>0</v>
      </c>
      <c r="K560" s="386">
        <v>196438.52</v>
      </c>
      <c r="L560" s="387" t="s">
        <v>476</v>
      </c>
    </row>
    <row r="561" spans="1:12" ht="25.5" hidden="1">
      <c r="A561" s="385" t="s">
        <v>345</v>
      </c>
      <c r="B561" s="385" t="s">
        <v>486</v>
      </c>
      <c r="C561" s="385" t="s">
        <v>525</v>
      </c>
      <c r="D561" s="385" t="s">
        <v>380</v>
      </c>
      <c r="E561" s="385" t="s">
        <v>19</v>
      </c>
      <c r="F561" s="385" t="s">
        <v>477</v>
      </c>
      <c r="G561" s="385" t="s">
        <v>19</v>
      </c>
      <c r="H561" s="386">
        <v>0</v>
      </c>
      <c r="I561" s="386">
        <v>698404</v>
      </c>
      <c r="J561" s="386">
        <v>0</v>
      </c>
      <c r="K561" s="386">
        <v>492308.07</v>
      </c>
      <c r="L561" s="387" t="s">
        <v>478</v>
      </c>
    </row>
    <row r="562" spans="1:12" ht="25.5" hidden="1">
      <c r="A562" s="385" t="s">
        <v>345</v>
      </c>
      <c r="B562" s="385" t="s">
        <v>486</v>
      </c>
      <c r="C562" s="385" t="s">
        <v>526</v>
      </c>
      <c r="D562" s="385" t="s">
        <v>380</v>
      </c>
      <c r="E562" s="385" t="s">
        <v>19</v>
      </c>
      <c r="F562" s="385" t="s">
        <v>488</v>
      </c>
      <c r="G562" s="385" t="s">
        <v>19</v>
      </c>
      <c r="H562" s="386">
        <v>0</v>
      </c>
      <c r="I562" s="386">
        <v>1393</v>
      </c>
      <c r="J562" s="386">
        <v>0</v>
      </c>
      <c r="K562" s="386">
        <v>0</v>
      </c>
      <c r="L562" s="387" t="s">
        <v>489</v>
      </c>
    </row>
    <row r="563" spans="1:12" ht="25.5" hidden="1">
      <c r="A563" s="385" t="s">
        <v>345</v>
      </c>
      <c r="B563" s="385" t="s">
        <v>486</v>
      </c>
      <c r="C563" s="385" t="s">
        <v>526</v>
      </c>
      <c r="D563" s="385" t="s">
        <v>380</v>
      </c>
      <c r="E563" s="385" t="s">
        <v>19</v>
      </c>
      <c r="F563" s="385" t="s">
        <v>475</v>
      </c>
      <c r="G563" s="385" t="s">
        <v>19</v>
      </c>
      <c r="H563" s="386">
        <v>0</v>
      </c>
      <c r="I563" s="386">
        <v>47283</v>
      </c>
      <c r="J563" s="386">
        <v>0</v>
      </c>
      <c r="K563" s="386">
        <v>21397.119999999999</v>
      </c>
      <c r="L563" s="387" t="s">
        <v>476</v>
      </c>
    </row>
    <row r="564" spans="1:12" ht="25.5" hidden="1">
      <c r="A564" s="385" t="s">
        <v>345</v>
      </c>
      <c r="B564" s="385" t="s">
        <v>486</v>
      </c>
      <c r="C564" s="385" t="s">
        <v>526</v>
      </c>
      <c r="D564" s="385" t="s">
        <v>380</v>
      </c>
      <c r="E564" s="385" t="s">
        <v>19</v>
      </c>
      <c r="F564" s="385" t="s">
        <v>477</v>
      </c>
      <c r="G564" s="385" t="s">
        <v>19</v>
      </c>
      <c r="H564" s="386">
        <v>0</v>
      </c>
      <c r="I564" s="386">
        <v>100937</v>
      </c>
      <c r="J564" s="386">
        <v>0</v>
      </c>
      <c r="K564" s="386">
        <v>56546.57</v>
      </c>
      <c r="L564" s="387" t="s">
        <v>478</v>
      </c>
    </row>
    <row r="565" spans="1:12" ht="25.5" hidden="1">
      <c r="A565" s="385" t="s">
        <v>345</v>
      </c>
      <c r="B565" s="385" t="s">
        <v>486</v>
      </c>
      <c r="C565" s="385" t="s">
        <v>528</v>
      </c>
      <c r="D565" s="385" t="s">
        <v>380</v>
      </c>
      <c r="E565" s="385" t="s">
        <v>19</v>
      </c>
      <c r="F565" s="385" t="s">
        <v>477</v>
      </c>
      <c r="G565" s="385" t="s">
        <v>19</v>
      </c>
      <c r="H565" s="386">
        <v>0</v>
      </c>
      <c r="I565" s="386">
        <v>40449</v>
      </c>
      <c r="J565" s="386">
        <v>0</v>
      </c>
      <c r="K565" s="386">
        <v>36976</v>
      </c>
      <c r="L565" s="387" t="s">
        <v>478</v>
      </c>
    </row>
    <row r="566" spans="1:12" ht="25.5" hidden="1">
      <c r="A566" s="385" t="s">
        <v>345</v>
      </c>
      <c r="B566" s="385" t="s">
        <v>486</v>
      </c>
      <c r="C566" s="385" t="s">
        <v>528</v>
      </c>
      <c r="D566" s="385" t="s">
        <v>380</v>
      </c>
      <c r="E566" s="385" t="s">
        <v>19</v>
      </c>
      <c r="F566" s="385" t="s">
        <v>475</v>
      </c>
      <c r="G566" s="385" t="s">
        <v>19</v>
      </c>
      <c r="H566" s="386">
        <v>0</v>
      </c>
      <c r="I566" s="386">
        <v>7200</v>
      </c>
      <c r="J566" s="386">
        <v>0</v>
      </c>
      <c r="K566" s="386">
        <v>2725.69</v>
      </c>
      <c r="L566" s="387" t="s">
        <v>476</v>
      </c>
    </row>
    <row r="567" spans="1:12" ht="25.5" hidden="1">
      <c r="A567" s="385" t="s">
        <v>345</v>
      </c>
      <c r="B567" s="385" t="s">
        <v>486</v>
      </c>
      <c r="C567" s="385" t="s">
        <v>528</v>
      </c>
      <c r="D567" s="385" t="s">
        <v>380</v>
      </c>
      <c r="E567" s="385" t="s">
        <v>19</v>
      </c>
      <c r="F567" s="385" t="s">
        <v>389</v>
      </c>
      <c r="G567" s="385" t="s">
        <v>19</v>
      </c>
      <c r="H567" s="386">
        <v>0</v>
      </c>
      <c r="I567" s="386">
        <v>0</v>
      </c>
      <c r="J567" s="386">
        <v>0</v>
      </c>
      <c r="K567" s="386">
        <v>0</v>
      </c>
      <c r="L567" s="387" t="s">
        <v>390</v>
      </c>
    </row>
    <row r="568" spans="1:12" ht="25.5" hidden="1">
      <c r="A568" s="385" t="s">
        <v>345</v>
      </c>
      <c r="B568" s="385" t="s">
        <v>486</v>
      </c>
      <c r="C568" s="385" t="s">
        <v>598</v>
      </c>
      <c r="D568" s="385" t="s">
        <v>380</v>
      </c>
      <c r="E568" s="385" t="s">
        <v>19</v>
      </c>
      <c r="F568" s="385" t="s">
        <v>477</v>
      </c>
      <c r="G568" s="385" t="s">
        <v>19</v>
      </c>
      <c r="H568" s="386">
        <v>0</v>
      </c>
      <c r="I568" s="386">
        <v>30709.01</v>
      </c>
      <c r="J568" s="386">
        <v>0</v>
      </c>
      <c r="K568" s="386">
        <v>30709.01</v>
      </c>
      <c r="L568" s="387" t="s">
        <v>478</v>
      </c>
    </row>
    <row r="569" spans="1:12" ht="25.5" hidden="1">
      <c r="A569" s="385" t="s">
        <v>345</v>
      </c>
      <c r="B569" s="385" t="s">
        <v>486</v>
      </c>
      <c r="C569" s="385" t="s">
        <v>530</v>
      </c>
      <c r="D569" s="385" t="s">
        <v>380</v>
      </c>
      <c r="E569" s="385" t="s">
        <v>19</v>
      </c>
      <c r="F569" s="385" t="s">
        <v>477</v>
      </c>
      <c r="G569" s="385" t="s">
        <v>19</v>
      </c>
      <c r="H569" s="386">
        <v>0</v>
      </c>
      <c r="I569" s="386">
        <v>324560</v>
      </c>
      <c r="J569" s="386">
        <v>0</v>
      </c>
      <c r="K569" s="386">
        <v>269094.83</v>
      </c>
      <c r="L569" s="387" t="s">
        <v>478</v>
      </c>
    </row>
    <row r="570" spans="1:12" ht="25.5" hidden="1">
      <c r="A570" s="385" t="s">
        <v>345</v>
      </c>
      <c r="B570" s="385" t="s">
        <v>486</v>
      </c>
      <c r="C570" s="385" t="s">
        <v>530</v>
      </c>
      <c r="D570" s="385" t="s">
        <v>380</v>
      </c>
      <c r="E570" s="385" t="s">
        <v>19</v>
      </c>
      <c r="F570" s="385" t="s">
        <v>475</v>
      </c>
      <c r="G570" s="385" t="s">
        <v>19</v>
      </c>
      <c r="H570" s="386">
        <v>0</v>
      </c>
      <c r="I570" s="386">
        <v>38000</v>
      </c>
      <c r="J570" s="386">
        <v>0</v>
      </c>
      <c r="K570" s="386">
        <v>32991.1</v>
      </c>
      <c r="L570" s="387" t="s">
        <v>476</v>
      </c>
    </row>
    <row r="571" spans="1:12" ht="25.5" hidden="1">
      <c r="A571" s="385" t="s">
        <v>345</v>
      </c>
      <c r="B571" s="385" t="s">
        <v>486</v>
      </c>
      <c r="C571" s="385" t="s">
        <v>531</v>
      </c>
      <c r="D571" s="385" t="s">
        <v>380</v>
      </c>
      <c r="E571" s="385" t="s">
        <v>19</v>
      </c>
      <c r="F571" s="385" t="s">
        <v>477</v>
      </c>
      <c r="G571" s="385" t="s">
        <v>19</v>
      </c>
      <c r="H571" s="386">
        <v>0</v>
      </c>
      <c r="I571" s="386">
        <v>7100</v>
      </c>
      <c r="J571" s="386">
        <v>0</v>
      </c>
      <c r="K571" s="386">
        <v>5051.2700000000004</v>
      </c>
      <c r="L571" s="387" t="s">
        <v>478</v>
      </c>
    </row>
    <row r="572" spans="1:12" ht="25.5" hidden="1">
      <c r="A572" s="385" t="s">
        <v>345</v>
      </c>
      <c r="B572" s="385" t="s">
        <v>486</v>
      </c>
      <c r="C572" s="385" t="s">
        <v>510</v>
      </c>
      <c r="D572" s="385" t="s">
        <v>380</v>
      </c>
      <c r="E572" s="385" t="s">
        <v>19</v>
      </c>
      <c r="F572" s="385" t="s">
        <v>477</v>
      </c>
      <c r="G572" s="385" t="s">
        <v>19</v>
      </c>
      <c r="H572" s="386">
        <v>0</v>
      </c>
      <c r="I572" s="386">
        <v>81258.38</v>
      </c>
      <c r="J572" s="386">
        <v>0</v>
      </c>
      <c r="K572" s="386">
        <v>78035.179999999993</v>
      </c>
      <c r="L572" s="387" t="s">
        <v>478</v>
      </c>
    </row>
    <row r="573" spans="1:12" ht="25.5" hidden="1">
      <c r="A573" s="385" t="s">
        <v>345</v>
      </c>
      <c r="B573" s="385" t="s">
        <v>486</v>
      </c>
      <c r="C573" s="385" t="s">
        <v>510</v>
      </c>
      <c r="D573" s="385" t="s">
        <v>380</v>
      </c>
      <c r="E573" s="385" t="s">
        <v>19</v>
      </c>
      <c r="F573" s="385" t="s">
        <v>475</v>
      </c>
      <c r="G573" s="385" t="s">
        <v>19</v>
      </c>
      <c r="H573" s="386">
        <v>0</v>
      </c>
      <c r="I573" s="386">
        <v>16000</v>
      </c>
      <c r="J573" s="386">
        <v>0</v>
      </c>
      <c r="K573" s="386">
        <v>12415.37</v>
      </c>
      <c r="L573" s="387" t="s">
        <v>476</v>
      </c>
    </row>
    <row r="574" spans="1:12" hidden="1">
      <c r="A574" s="385" t="s">
        <v>345</v>
      </c>
      <c r="B574" s="385" t="s">
        <v>486</v>
      </c>
      <c r="C574" s="385" t="s">
        <v>590</v>
      </c>
      <c r="D574" s="385" t="s">
        <v>380</v>
      </c>
      <c r="E574" s="385" t="s">
        <v>19</v>
      </c>
      <c r="F574" s="385" t="s">
        <v>482</v>
      </c>
      <c r="G574" s="385" t="s">
        <v>19</v>
      </c>
      <c r="H574" s="386">
        <v>0</v>
      </c>
      <c r="I574" s="386">
        <v>5308.16</v>
      </c>
      <c r="J574" s="386">
        <v>0</v>
      </c>
      <c r="K574" s="386">
        <v>5308.16</v>
      </c>
      <c r="L574" s="387" t="s">
        <v>483</v>
      </c>
    </row>
    <row r="575" spans="1:12" ht="25.5" hidden="1">
      <c r="A575" s="385" t="s">
        <v>345</v>
      </c>
      <c r="B575" s="385" t="s">
        <v>486</v>
      </c>
      <c r="C575" s="385" t="s">
        <v>532</v>
      </c>
      <c r="D575" s="385" t="s">
        <v>380</v>
      </c>
      <c r="E575" s="385" t="s">
        <v>19</v>
      </c>
      <c r="F575" s="385" t="s">
        <v>477</v>
      </c>
      <c r="G575" s="385" t="s">
        <v>19</v>
      </c>
      <c r="H575" s="386">
        <v>0</v>
      </c>
      <c r="I575" s="386">
        <v>9840</v>
      </c>
      <c r="J575" s="386">
        <v>0</v>
      </c>
      <c r="K575" s="386">
        <v>5646.5</v>
      </c>
      <c r="L575" s="387" t="s">
        <v>478</v>
      </c>
    </row>
    <row r="576" spans="1:12" ht="25.5" hidden="1">
      <c r="A576" s="385" t="s">
        <v>345</v>
      </c>
      <c r="B576" s="385" t="s">
        <v>486</v>
      </c>
      <c r="C576" s="385" t="s">
        <v>532</v>
      </c>
      <c r="D576" s="385" t="s">
        <v>380</v>
      </c>
      <c r="E576" s="385" t="s">
        <v>19</v>
      </c>
      <c r="F576" s="385" t="s">
        <v>475</v>
      </c>
      <c r="G576" s="385" t="s">
        <v>19</v>
      </c>
      <c r="H576" s="386">
        <v>0</v>
      </c>
      <c r="I576" s="386">
        <v>3687</v>
      </c>
      <c r="J576" s="386">
        <v>0</v>
      </c>
      <c r="K576" s="386">
        <v>2475.92</v>
      </c>
      <c r="L576" s="387" t="s">
        <v>476</v>
      </c>
    </row>
    <row r="577" spans="1:12" hidden="1">
      <c r="A577" s="385" t="s">
        <v>345</v>
      </c>
      <c r="B577" s="385" t="s">
        <v>486</v>
      </c>
      <c r="C577" s="385" t="s">
        <v>591</v>
      </c>
      <c r="D577" s="385" t="s">
        <v>380</v>
      </c>
      <c r="E577" s="385" t="s">
        <v>19</v>
      </c>
      <c r="F577" s="385" t="s">
        <v>482</v>
      </c>
      <c r="G577" s="385" t="s">
        <v>19</v>
      </c>
      <c r="H577" s="386">
        <v>0</v>
      </c>
      <c r="I577" s="386">
        <v>1309.48</v>
      </c>
      <c r="J577" s="386">
        <v>0</v>
      </c>
      <c r="K577" s="386">
        <v>1309.48</v>
      </c>
      <c r="L577" s="387" t="s">
        <v>483</v>
      </c>
    </row>
    <row r="578" spans="1:12" ht="25.5" hidden="1">
      <c r="A578" s="385" t="s">
        <v>345</v>
      </c>
      <c r="B578" s="385" t="s">
        <v>486</v>
      </c>
      <c r="C578" s="385" t="s">
        <v>533</v>
      </c>
      <c r="D578" s="385" t="s">
        <v>380</v>
      </c>
      <c r="E578" s="385" t="s">
        <v>19</v>
      </c>
      <c r="F578" s="385" t="s">
        <v>477</v>
      </c>
      <c r="G578" s="385" t="s">
        <v>19</v>
      </c>
      <c r="H578" s="386">
        <v>0</v>
      </c>
      <c r="I578" s="386">
        <v>1000</v>
      </c>
      <c r="J578" s="386">
        <v>0</v>
      </c>
      <c r="K578" s="386">
        <v>305.98</v>
      </c>
      <c r="L578" s="387" t="s">
        <v>478</v>
      </c>
    </row>
    <row r="579" spans="1:12" ht="25.5" hidden="1">
      <c r="A579" s="385" t="s">
        <v>345</v>
      </c>
      <c r="B579" s="385" t="s">
        <v>486</v>
      </c>
      <c r="C579" s="385" t="s">
        <v>535</v>
      </c>
      <c r="D579" s="385" t="s">
        <v>380</v>
      </c>
      <c r="E579" s="385" t="s">
        <v>19</v>
      </c>
      <c r="F579" s="385" t="s">
        <v>477</v>
      </c>
      <c r="G579" s="385" t="s">
        <v>19</v>
      </c>
      <c r="H579" s="386">
        <v>0</v>
      </c>
      <c r="I579" s="386">
        <v>235356</v>
      </c>
      <c r="J579" s="386">
        <v>0</v>
      </c>
      <c r="K579" s="386">
        <v>174451.9</v>
      </c>
      <c r="L579" s="387" t="s">
        <v>478</v>
      </c>
    </row>
    <row r="580" spans="1:12" ht="25.5" hidden="1">
      <c r="A580" s="385" t="s">
        <v>345</v>
      </c>
      <c r="B580" s="385" t="s">
        <v>486</v>
      </c>
      <c r="C580" s="385" t="s">
        <v>535</v>
      </c>
      <c r="D580" s="385" t="s">
        <v>380</v>
      </c>
      <c r="E580" s="385" t="s">
        <v>19</v>
      </c>
      <c r="F580" s="385" t="s">
        <v>475</v>
      </c>
      <c r="G580" s="385" t="s">
        <v>19</v>
      </c>
      <c r="H580" s="386">
        <v>0</v>
      </c>
      <c r="I580" s="386">
        <v>97433</v>
      </c>
      <c r="J580" s="386">
        <v>0</v>
      </c>
      <c r="K580" s="386">
        <v>69206</v>
      </c>
      <c r="L580" s="387" t="s">
        <v>476</v>
      </c>
    </row>
    <row r="581" spans="1:12" hidden="1">
      <c r="A581" s="385" t="s">
        <v>345</v>
      </c>
      <c r="B581" s="385" t="s">
        <v>486</v>
      </c>
      <c r="C581" s="385" t="s">
        <v>538</v>
      </c>
      <c r="D581" s="385" t="s">
        <v>380</v>
      </c>
      <c r="E581" s="385" t="s">
        <v>19</v>
      </c>
      <c r="F581" s="385" t="s">
        <v>386</v>
      </c>
      <c r="G581" s="385" t="s">
        <v>19</v>
      </c>
      <c r="H581" s="386">
        <v>0</v>
      </c>
      <c r="I581" s="386">
        <v>6500</v>
      </c>
      <c r="J581" s="386">
        <v>0</v>
      </c>
      <c r="K581" s="386">
        <v>0</v>
      </c>
      <c r="L581" s="387" t="s">
        <v>387</v>
      </c>
    </row>
    <row r="582" spans="1:12" ht="25.5" hidden="1">
      <c r="A582" s="385" t="s">
        <v>345</v>
      </c>
      <c r="B582" s="385" t="s">
        <v>486</v>
      </c>
      <c r="C582" s="385" t="s">
        <v>540</v>
      </c>
      <c r="D582" s="385" t="s">
        <v>380</v>
      </c>
      <c r="E582" s="385" t="s">
        <v>19</v>
      </c>
      <c r="F582" s="385" t="s">
        <v>477</v>
      </c>
      <c r="G582" s="385" t="s">
        <v>19</v>
      </c>
      <c r="H582" s="386">
        <v>0</v>
      </c>
      <c r="I582" s="386">
        <v>3500</v>
      </c>
      <c r="J582" s="386">
        <v>0</v>
      </c>
      <c r="K582" s="386">
        <v>0</v>
      </c>
      <c r="L582" s="387" t="s">
        <v>478</v>
      </c>
    </row>
    <row r="583" spans="1:12" ht="25.5" hidden="1">
      <c r="A583" s="385" t="s">
        <v>345</v>
      </c>
      <c r="B583" s="385" t="s">
        <v>486</v>
      </c>
      <c r="C583" s="385" t="s">
        <v>548</v>
      </c>
      <c r="D583" s="385" t="s">
        <v>380</v>
      </c>
      <c r="E583" s="385" t="s">
        <v>19</v>
      </c>
      <c r="F583" s="385" t="s">
        <v>477</v>
      </c>
      <c r="G583" s="385" t="s">
        <v>19</v>
      </c>
      <c r="H583" s="386">
        <v>0</v>
      </c>
      <c r="I583" s="386">
        <v>10000</v>
      </c>
      <c r="J583" s="386">
        <v>0</v>
      </c>
      <c r="K583" s="386">
        <v>6805.83</v>
      </c>
      <c r="L583" s="387" t="s">
        <v>478</v>
      </c>
    </row>
    <row r="584" spans="1:12" ht="25.5" hidden="1">
      <c r="A584" s="385" t="s">
        <v>345</v>
      </c>
      <c r="B584" s="385" t="s">
        <v>486</v>
      </c>
      <c r="C584" s="385" t="s">
        <v>548</v>
      </c>
      <c r="D584" s="385" t="s">
        <v>380</v>
      </c>
      <c r="E584" s="385" t="s">
        <v>19</v>
      </c>
      <c r="F584" s="385" t="s">
        <v>475</v>
      </c>
      <c r="G584" s="385" t="s">
        <v>19</v>
      </c>
      <c r="H584" s="386">
        <v>0</v>
      </c>
      <c r="I584" s="386">
        <v>3898</v>
      </c>
      <c r="J584" s="386">
        <v>0</v>
      </c>
      <c r="K584" s="386">
        <v>948.44</v>
      </c>
      <c r="L584" s="387" t="s">
        <v>476</v>
      </c>
    </row>
    <row r="585" spans="1:12" hidden="1">
      <c r="A585" s="385" t="s">
        <v>345</v>
      </c>
      <c r="B585" s="385" t="s">
        <v>486</v>
      </c>
      <c r="C585" s="385" t="s">
        <v>592</v>
      </c>
      <c r="D585" s="385" t="s">
        <v>380</v>
      </c>
      <c r="E585" s="385" t="s">
        <v>19</v>
      </c>
      <c r="F585" s="385" t="s">
        <v>482</v>
      </c>
      <c r="G585" s="385" t="s">
        <v>19</v>
      </c>
      <c r="H585" s="386">
        <v>0</v>
      </c>
      <c r="I585" s="386">
        <v>8578.0499999999993</v>
      </c>
      <c r="J585" s="386">
        <v>0</v>
      </c>
      <c r="K585" s="386">
        <v>8578.0499999999993</v>
      </c>
      <c r="L585" s="387" t="s">
        <v>483</v>
      </c>
    </row>
    <row r="586" spans="1:12" hidden="1">
      <c r="A586" s="385" t="s">
        <v>345</v>
      </c>
      <c r="B586" s="385" t="s">
        <v>486</v>
      </c>
      <c r="C586" s="385" t="s">
        <v>593</v>
      </c>
      <c r="D586" s="385" t="s">
        <v>380</v>
      </c>
      <c r="E586" s="385" t="s">
        <v>19</v>
      </c>
      <c r="F586" s="385" t="s">
        <v>482</v>
      </c>
      <c r="G586" s="385" t="s">
        <v>19</v>
      </c>
      <c r="H586" s="386">
        <v>0</v>
      </c>
      <c r="I586" s="386">
        <v>80605.350000000006</v>
      </c>
      <c r="J586" s="386">
        <v>0</v>
      </c>
      <c r="K586" s="386">
        <v>80605.350000000006</v>
      </c>
      <c r="L586" s="387" t="s">
        <v>483</v>
      </c>
    </row>
    <row r="587" spans="1:12" ht="25.5" hidden="1">
      <c r="A587" s="385" t="s">
        <v>345</v>
      </c>
      <c r="B587" s="385" t="s">
        <v>486</v>
      </c>
      <c r="C587" s="385" t="s">
        <v>594</v>
      </c>
      <c r="D587" s="385" t="s">
        <v>380</v>
      </c>
      <c r="E587" s="385" t="s">
        <v>19</v>
      </c>
      <c r="F587" s="385" t="s">
        <v>488</v>
      </c>
      <c r="G587" s="385" t="s">
        <v>19</v>
      </c>
      <c r="H587" s="386">
        <v>0</v>
      </c>
      <c r="I587" s="386">
        <v>138554</v>
      </c>
      <c r="J587" s="386">
        <v>0</v>
      </c>
      <c r="K587" s="386">
        <v>0</v>
      </c>
      <c r="L587" s="387" t="s">
        <v>489</v>
      </c>
    </row>
    <row r="588" spans="1:12" ht="25.5" hidden="1">
      <c r="A588" s="385" t="s">
        <v>345</v>
      </c>
      <c r="B588" s="385" t="s">
        <v>486</v>
      </c>
      <c r="C588" s="385" t="s">
        <v>594</v>
      </c>
      <c r="D588" s="385" t="s">
        <v>380</v>
      </c>
      <c r="E588" s="385" t="s">
        <v>19</v>
      </c>
      <c r="F588" s="385" t="s">
        <v>475</v>
      </c>
      <c r="G588" s="385" t="s">
        <v>19</v>
      </c>
      <c r="H588" s="386">
        <v>0</v>
      </c>
      <c r="I588" s="386">
        <v>1546899</v>
      </c>
      <c r="J588" s="386">
        <v>0</v>
      </c>
      <c r="K588" s="386">
        <v>1051337.69</v>
      </c>
      <c r="L588" s="387" t="s">
        <v>476</v>
      </c>
    </row>
    <row r="589" spans="1:12" ht="25.5" hidden="1">
      <c r="A589" s="385" t="s">
        <v>345</v>
      </c>
      <c r="B589" s="385" t="s">
        <v>486</v>
      </c>
      <c r="C589" s="385" t="s">
        <v>594</v>
      </c>
      <c r="D589" s="385" t="s">
        <v>380</v>
      </c>
      <c r="E589" s="385" t="s">
        <v>19</v>
      </c>
      <c r="F589" s="385" t="s">
        <v>477</v>
      </c>
      <c r="G589" s="385" t="s">
        <v>19</v>
      </c>
      <c r="H589" s="386">
        <v>0</v>
      </c>
      <c r="I589" s="386">
        <v>3706194.71</v>
      </c>
      <c r="J589" s="386">
        <v>0</v>
      </c>
      <c r="K589" s="386">
        <v>2366484.66</v>
      </c>
      <c r="L589" s="387" t="s">
        <v>478</v>
      </c>
    </row>
    <row r="590" spans="1:12" ht="25.5" hidden="1">
      <c r="A590" s="385" t="s">
        <v>345</v>
      </c>
      <c r="B590" s="385" t="s">
        <v>486</v>
      </c>
      <c r="C590" s="385" t="s">
        <v>595</v>
      </c>
      <c r="D590" s="385" t="s">
        <v>380</v>
      </c>
      <c r="E590" s="385" t="s">
        <v>19</v>
      </c>
      <c r="F590" s="385" t="s">
        <v>477</v>
      </c>
      <c r="G590" s="385" t="s">
        <v>19</v>
      </c>
      <c r="H590" s="386">
        <v>0</v>
      </c>
      <c r="I590" s="386">
        <v>278076.28999999998</v>
      </c>
      <c r="J590" s="386">
        <v>0</v>
      </c>
      <c r="K590" s="386">
        <v>278076.28999999998</v>
      </c>
      <c r="L590" s="387" t="s">
        <v>478</v>
      </c>
    </row>
    <row r="591" spans="1:12" ht="25.5" hidden="1">
      <c r="A591" s="385" t="s">
        <v>345</v>
      </c>
      <c r="B591" s="385" t="s">
        <v>486</v>
      </c>
      <c r="C591" s="385" t="s">
        <v>595</v>
      </c>
      <c r="D591" s="385" t="s">
        <v>380</v>
      </c>
      <c r="E591" s="385" t="s">
        <v>19</v>
      </c>
      <c r="F591" s="385" t="s">
        <v>475</v>
      </c>
      <c r="G591" s="385" t="s">
        <v>19</v>
      </c>
      <c r="H591" s="386">
        <v>0</v>
      </c>
      <c r="I591" s="386">
        <v>135620</v>
      </c>
      <c r="J591" s="386">
        <v>0</v>
      </c>
      <c r="K591" s="386">
        <v>135576.26</v>
      </c>
      <c r="L591" s="387" t="s">
        <v>476</v>
      </c>
    </row>
    <row r="592" spans="1:12" hidden="1">
      <c r="A592" s="385" t="s">
        <v>345</v>
      </c>
      <c r="B592" s="385" t="s">
        <v>486</v>
      </c>
      <c r="C592" s="385" t="s">
        <v>596</v>
      </c>
      <c r="D592" s="385" t="s">
        <v>380</v>
      </c>
      <c r="E592" s="385" t="s">
        <v>19</v>
      </c>
      <c r="F592" s="385" t="s">
        <v>482</v>
      </c>
      <c r="G592" s="385" t="s">
        <v>19</v>
      </c>
      <c r="H592" s="386">
        <v>0</v>
      </c>
      <c r="I592" s="386">
        <v>17585.849999999999</v>
      </c>
      <c r="J592" s="386">
        <v>0</v>
      </c>
      <c r="K592" s="386">
        <v>17585.849999999999</v>
      </c>
      <c r="L592" s="387" t="s">
        <v>483</v>
      </c>
    </row>
    <row r="593" spans="1:12" hidden="1">
      <c r="A593" s="385" t="s">
        <v>345</v>
      </c>
      <c r="B593" s="385" t="s">
        <v>486</v>
      </c>
      <c r="C593" s="385" t="s">
        <v>597</v>
      </c>
      <c r="D593" s="385" t="s">
        <v>380</v>
      </c>
      <c r="E593" s="385" t="s">
        <v>19</v>
      </c>
      <c r="F593" s="385" t="s">
        <v>482</v>
      </c>
      <c r="G593" s="385" t="s">
        <v>19</v>
      </c>
      <c r="H593" s="386">
        <v>0</v>
      </c>
      <c r="I593" s="386">
        <v>3172.36</v>
      </c>
      <c r="J593" s="386">
        <v>0</v>
      </c>
      <c r="K593" s="386">
        <v>3172.36</v>
      </c>
      <c r="L593" s="387" t="s">
        <v>483</v>
      </c>
    </row>
    <row r="594" spans="1:12" ht="25.5" hidden="1">
      <c r="A594" s="385" t="s">
        <v>345</v>
      </c>
      <c r="B594" s="385" t="s">
        <v>486</v>
      </c>
      <c r="C594" s="385" t="s">
        <v>541</v>
      </c>
      <c r="D594" s="385" t="s">
        <v>380</v>
      </c>
      <c r="E594" s="385" t="s">
        <v>19</v>
      </c>
      <c r="F594" s="385" t="s">
        <v>477</v>
      </c>
      <c r="G594" s="385" t="s">
        <v>19</v>
      </c>
      <c r="H594" s="386">
        <v>0</v>
      </c>
      <c r="I594" s="386">
        <v>62415</v>
      </c>
      <c r="J594" s="386">
        <v>0</v>
      </c>
      <c r="K594" s="386">
        <v>15092.1</v>
      </c>
      <c r="L594" s="387" t="s">
        <v>478</v>
      </c>
    </row>
    <row r="595" spans="1:12" ht="25.5" hidden="1">
      <c r="A595" s="385" t="s">
        <v>345</v>
      </c>
      <c r="B595" s="385" t="s">
        <v>266</v>
      </c>
      <c r="C595" s="385" t="s">
        <v>525</v>
      </c>
      <c r="D595" s="385" t="s">
        <v>380</v>
      </c>
      <c r="E595" s="385" t="s">
        <v>19</v>
      </c>
      <c r="F595" s="385" t="s">
        <v>488</v>
      </c>
      <c r="G595" s="385" t="s">
        <v>19</v>
      </c>
      <c r="H595" s="386">
        <v>0</v>
      </c>
      <c r="I595" s="386">
        <v>84</v>
      </c>
      <c r="J595" s="386">
        <v>0</v>
      </c>
      <c r="K595" s="386">
        <v>0</v>
      </c>
      <c r="L595" s="387" t="s">
        <v>489</v>
      </c>
    </row>
    <row r="596" spans="1:12" ht="25.5" hidden="1">
      <c r="A596" s="385" t="s">
        <v>345</v>
      </c>
      <c r="B596" s="385" t="s">
        <v>266</v>
      </c>
      <c r="C596" s="385" t="s">
        <v>525</v>
      </c>
      <c r="D596" s="385" t="s">
        <v>380</v>
      </c>
      <c r="E596" s="385" t="s">
        <v>19</v>
      </c>
      <c r="F596" s="385" t="s">
        <v>477</v>
      </c>
      <c r="G596" s="385" t="s">
        <v>19</v>
      </c>
      <c r="H596" s="386">
        <v>0</v>
      </c>
      <c r="I596" s="386">
        <v>41611</v>
      </c>
      <c r="J596" s="386">
        <v>0</v>
      </c>
      <c r="K596" s="386">
        <v>24323.53</v>
      </c>
      <c r="L596" s="387" t="s">
        <v>478</v>
      </c>
    </row>
    <row r="597" spans="1:12" ht="25.5" hidden="1">
      <c r="A597" s="385" t="s">
        <v>345</v>
      </c>
      <c r="B597" s="385" t="s">
        <v>266</v>
      </c>
      <c r="C597" s="385" t="s">
        <v>525</v>
      </c>
      <c r="D597" s="385" t="s">
        <v>380</v>
      </c>
      <c r="E597" s="385" t="s">
        <v>19</v>
      </c>
      <c r="F597" s="385" t="s">
        <v>475</v>
      </c>
      <c r="G597" s="385" t="s">
        <v>19</v>
      </c>
      <c r="H597" s="386">
        <v>0</v>
      </c>
      <c r="I597" s="386">
        <v>7812</v>
      </c>
      <c r="J597" s="386">
        <v>0</v>
      </c>
      <c r="K597" s="386">
        <v>4557.26</v>
      </c>
      <c r="L597" s="387" t="s">
        <v>476</v>
      </c>
    </row>
    <row r="598" spans="1:12" ht="25.5" hidden="1">
      <c r="A598" s="385" t="s">
        <v>345</v>
      </c>
      <c r="B598" s="385" t="s">
        <v>266</v>
      </c>
      <c r="C598" s="385" t="s">
        <v>526</v>
      </c>
      <c r="D598" s="385" t="s">
        <v>380</v>
      </c>
      <c r="E598" s="385" t="s">
        <v>19</v>
      </c>
      <c r="F598" s="385" t="s">
        <v>477</v>
      </c>
      <c r="G598" s="385" t="s">
        <v>19</v>
      </c>
      <c r="H598" s="386">
        <v>0</v>
      </c>
      <c r="I598" s="386">
        <v>5836</v>
      </c>
      <c r="J598" s="386">
        <v>0</v>
      </c>
      <c r="K598" s="386">
        <v>2838.97</v>
      </c>
      <c r="L598" s="387" t="s">
        <v>478</v>
      </c>
    </row>
    <row r="599" spans="1:12" ht="25.5" hidden="1">
      <c r="A599" s="385" t="s">
        <v>345</v>
      </c>
      <c r="B599" s="385" t="s">
        <v>266</v>
      </c>
      <c r="C599" s="385" t="s">
        <v>526</v>
      </c>
      <c r="D599" s="385" t="s">
        <v>380</v>
      </c>
      <c r="E599" s="385" t="s">
        <v>19</v>
      </c>
      <c r="F599" s="385" t="s">
        <v>488</v>
      </c>
      <c r="G599" s="385" t="s">
        <v>19</v>
      </c>
      <c r="H599" s="386">
        <v>0</v>
      </c>
      <c r="I599" s="386">
        <v>12</v>
      </c>
      <c r="J599" s="386">
        <v>0</v>
      </c>
      <c r="K599" s="386">
        <v>0</v>
      </c>
      <c r="L599" s="387" t="s">
        <v>489</v>
      </c>
    </row>
    <row r="600" spans="1:12" ht="25.5" hidden="1">
      <c r="A600" s="385" t="s">
        <v>345</v>
      </c>
      <c r="B600" s="385" t="s">
        <v>266</v>
      </c>
      <c r="C600" s="385" t="s">
        <v>526</v>
      </c>
      <c r="D600" s="385" t="s">
        <v>380</v>
      </c>
      <c r="E600" s="385" t="s">
        <v>19</v>
      </c>
      <c r="F600" s="385" t="s">
        <v>475</v>
      </c>
      <c r="G600" s="385" t="s">
        <v>19</v>
      </c>
      <c r="H600" s="386">
        <v>0</v>
      </c>
      <c r="I600" s="386">
        <v>1137</v>
      </c>
      <c r="J600" s="386">
        <v>0</v>
      </c>
      <c r="K600" s="386">
        <v>592.44000000000005</v>
      </c>
      <c r="L600" s="387" t="s">
        <v>476</v>
      </c>
    </row>
    <row r="601" spans="1:12" ht="25.5" hidden="1">
      <c r="A601" s="385" t="s">
        <v>345</v>
      </c>
      <c r="B601" s="385" t="s">
        <v>266</v>
      </c>
      <c r="C601" s="385" t="s">
        <v>528</v>
      </c>
      <c r="D601" s="385" t="s">
        <v>380</v>
      </c>
      <c r="E601" s="385" t="s">
        <v>19</v>
      </c>
      <c r="F601" s="385" t="s">
        <v>477</v>
      </c>
      <c r="G601" s="385" t="s">
        <v>19</v>
      </c>
      <c r="H601" s="386">
        <v>0</v>
      </c>
      <c r="I601" s="386">
        <v>1237</v>
      </c>
      <c r="J601" s="386">
        <v>0</v>
      </c>
      <c r="K601" s="386">
        <v>1237</v>
      </c>
      <c r="L601" s="387" t="s">
        <v>478</v>
      </c>
    </row>
    <row r="602" spans="1:12" ht="25.5" hidden="1">
      <c r="A602" s="385" t="s">
        <v>345</v>
      </c>
      <c r="B602" s="385" t="s">
        <v>266</v>
      </c>
      <c r="C602" s="385" t="s">
        <v>598</v>
      </c>
      <c r="D602" s="385" t="s">
        <v>380</v>
      </c>
      <c r="E602" s="385" t="s">
        <v>19</v>
      </c>
      <c r="F602" s="385" t="s">
        <v>477</v>
      </c>
      <c r="G602" s="385" t="s">
        <v>19</v>
      </c>
      <c r="H602" s="386">
        <v>0</v>
      </c>
      <c r="I602" s="386">
        <v>2000</v>
      </c>
      <c r="J602" s="386">
        <v>0</v>
      </c>
      <c r="K602" s="386">
        <v>2000</v>
      </c>
      <c r="L602" s="387" t="s">
        <v>478</v>
      </c>
    </row>
    <row r="603" spans="1:12" ht="25.5" hidden="1">
      <c r="A603" s="385" t="s">
        <v>345</v>
      </c>
      <c r="B603" s="385" t="s">
        <v>266</v>
      </c>
      <c r="C603" s="385" t="s">
        <v>531</v>
      </c>
      <c r="D603" s="385" t="s">
        <v>380</v>
      </c>
      <c r="E603" s="385" t="s">
        <v>19</v>
      </c>
      <c r="F603" s="385" t="s">
        <v>477</v>
      </c>
      <c r="G603" s="385" t="s">
        <v>19</v>
      </c>
      <c r="H603" s="386">
        <v>0</v>
      </c>
      <c r="I603" s="386">
        <v>200</v>
      </c>
      <c r="J603" s="386">
        <v>0</v>
      </c>
      <c r="K603" s="386">
        <v>200</v>
      </c>
      <c r="L603" s="387" t="s">
        <v>478</v>
      </c>
    </row>
    <row r="604" spans="1:12" ht="25.5" hidden="1">
      <c r="A604" s="385" t="s">
        <v>345</v>
      </c>
      <c r="B604" s="385" t="s">
        <v>266</v>
      </c>
      <c r="C604" s="385" t="s">
        <v>535</v>
      </c>
      <c r="D604" s="385" t="s">
        <v>380</v>
      </c>
      <c r="E604" s="385" t="s">
        <v>19</v>
      </c>
      <c r="F604" s="385" t="s">
        <v>477</v>
      </c>
      <c r="G604" s="385" t="s">
        <v>19</v>
      </c>
      <c r="H604" s="386">
        <v>0</v>
      </c>
      <c r="I604" s="386">
        <v>16022</v>
      </c>
      <c r="J604" s="386">
        <v>0</v>
      </c>
      <c r="K604" s="386">
        <v>11917.87</v>
      </c>
      <c r="L604" s="387" t="s">
        <v>478</v>
      </c>
    </row>
    <row r="605" spans="1:12" ht="25.5" hidden="1">
      <c r="A605" s="385" t="s">
        <v>345</v>
      </c>
      <c r="B605" s="385" t="s">
        <v>266</v>
      </c>
      <c r="C605" s="385" t="s">
        <v>535</v>
      </c>
      <c r="D605" s="385" t="s">
        <v>380</v>
      </c>
      <c r="E605" s="385" t="s">
        <v>19</v>
      </c>
      <c r="F605" s="385" t="s">
        <v>475</v>
      </c>
      <c r="G605" s="385" t="s">
        <v>19</v>
      </c>
      <c r="H605" s="386">
        <v>0</v>
      </c>
      <c r="I605" s="386">
        <v>3408</v>
      </c>
      <c r="J605" s="386">
        <v>0</v>
      </c>
      <c r="K605" s="386">
        <v>2434</v>
      </c>
      <c r="L605" s="387" t="s">
        <v>476</v>
      </c>
    </row>
    <row r="606" spans="1:12" ht="25.5" hidden="1">
      <c r="A606" s="385" t="s">
        <v>345</v>
      </c>
      <c r="B606" s="385" t="s">
        <v>266</v>
      </c>
      <c r="C606" s="385" t="s">
        <v>540</v>
      </c>
      <c r="D606" s="385" t="s">
        <v>380</v>
      </c>
      <c r="E606" s="385" t="s">
        <v>19</v>
      </c>
      <c r="F606" s="385" t="s">
        <v>477</v>
      </c>
      <c r="G606" s="385" t="s">
        <v>19</v>
      </c>
      <c r="H606" s="386">
        <v>0</v>
      </c>
      <c r="I606" s="386">
        <v>160</v>
      </c>
      <c r="J606" s="386">
        <v>0</v>
      </c>
      <c r="K606" s="386">
        <v>0</v>
      </c>
      <c r="L606" s="387" t="s">
        <v>478</v>
      </c>
    </row>
    <row r="607" spans="1:12" ht="25.5" hidden="1">
      <c r="A607" s="385" t="s">
        <v>345</v>
      </c>
      <c r="B607" s="385" t="s">
        <v>266</v>
      </c>
      <c r="C607" s="385" t="s">
        <v>548</v>
      </c>
      <c r="D607" s="385" t="s">
        <v>380</v>
      </c>
      <c r="E607" s="385" t="s">
        <v>19</v>
      </c>
      <c r="F607" s="385" t="s">
        <v>477</v>
      </c>
      <c r="G607" s="385" t="s">
        <v>19</v>
      </c>
      <c r="H607" s="386">
        <v>0</v>
      </c>
      <c r="I607" s="386">
        <v>431</v>
      </c>
      <c r="J607" s="386">
        <v>0</v>
      </c>
      <c r="K607" s="386">
        <v>55.28</v>
      </c>
      <c r="L607" s="387" t="s">
        <v>478</v>
      </c>
    </row>
    <row r="608" spans="1:12" ht="25.5" hidden="1">
      <c r="A608" s="385" t="s">
        <v>345</v>
      </c>
      <c r="B608" s="385" t="s">
        <v>266</v>
      </c>
      <c r="C608" s="385" t="s">
        <v>548</v>
      </c>
      <c r="D608" s="385" t="s">
        <v>380</v>
      </c>
      <c r="E608" s="385" t="s">
        <v>19</v>
      </c>
      <c r="F608" s="385" t="s">
        <v>475</v>
      </c>
      <c r="G608" s="385" t="s">
        <v>19</v>
      </c>
      <c r="H608" s="386">
        <v>0</v>
      </c>
      <c r="I608" s="386">
        <v>644</v>
      </c>
      <c r="J608" s="386">
        <v>0</v>
      </c>
      <c r="K608" s="386">
        <v>359.68</v>
      </c>
      <c r="L608" s="387" t="s">
        <v>476</v>
      </c>
    </row>
    <row r="609" spans="1:12" hidden="1">
      <c r="A609" s="385" t="s">
        <v>345</v>
      </c>
      <c r="B609" s="385" t="s">
        <v>266</v>
      </c>
      <c r="C609" s="385" t="s">
        <v>593</v>
      </c>
      <c r="D609" s="385" t="s">
        <v>380</v>
      </c>
      <c r="E609" s="385" t="s">
        <v>19</v>
      </c>
      <c r="F609" s="385" t="s">
        <v>482</v>
      </c>
      <c r="G609" s="385" t="s">
        <v>19</v>
      </c>
      <c r="H609" s="386">
        <v>0</v>
      </c>
      <c r="I609" s="386">
        <v>2828.34</v>
      </c>
      <c r="J609" s="386">
        <v>0</v>
      </c>
      <c r="K609" s="386">
        <v>2828.34</v>
      </c>
      <c r="L609" s="387" t="s">
        <v>483</v>
      </c>
    </row>
    <row r="610" spans="1:12" ht="25.5" hidden="1">
      <c r="A610" s="385" t="s">
        <v>345</v>
      </c>
      <c r="B610" s="385" t="s">
        <v>266</v>
      </c>
      <c r="C610" s="385" t="s">
        <v>594</v>
      </c>
      <c r="D610" s="385" t="s">
        <v>380</v>
      </c>
      <c r="E610" s="385" t="s">
        <v>19</v>
      </c>
      <c r="F610" s="385" t="s">
        <v>488</v>
      </c>
      <c r="G610" s="385" t="s">
        <v>19</v>
      </c>
      <c r="H610" s="386">
        <v>0</v>
      </c>
      <c r="I610" s="386">
        <v>481</v>
      </c>
      <c r="J610" s="386">
        <v>0</v>
      </c>
      <c r="K610" s="386">
        <v>0</v>
      </c>
      <c r="L610" s="387" t="s">
        <v>489</v>
      </c>
    </row>
    <row r="611" spans="1:12" ht="25.5" hidden="1">
      <c r="A611" s="385" t="s">
        <v>345</v>
      </c>
      <c r="B611" s="385" t="s">
        <v>266</v>
      </c>
      <c r="C611" s="385" t="s">
        <v>594</v>
      </c>
      <c r="D611" s="385" t="s">
        <v>380</v>
      </c>
      <c r="E611" s="385" t="s">
        <v>19</v>
      </c>
      <c r="F611" s="385" t="s">
        <v>477</v>
      </c>
      <c r="G611" s="385" t="s">
        <v>19</v>
      </c>
      <c r="H611" s="386">
        <v>0</v>
      </c>
      <c r="I611" s="386">
        <v>199570</v>
      </c>
      <c r="J611" s="386">
        <v>0</v>
      </c>
      <c r="K611" s="386">
        <v>167731.26999999999</v>
      </c>
      <c r="L611" s="387" t="s">
        <v>478</v>
      </c>
    </row>
    <row r="612" spans="1:12" ht="25.5" hidden="1">
      <c r="A612" s="385" t="s">
        <v>345</v>
      </c>
      <c r="B612" s="385" t="s">
        <v>266</v>
      </c>
      <c r="C612" s="385" t="s">
        <v>594</v>
      </c>
      <c r="D612" s="385" t="s">
        <v>380</v>
      </c>
      <c r="E612" s="385" t="s">
        <v>19</v>
      </c>
      <c r="F612" s="385" t="s">
        <v>475</v>
      </c>
      <c r="G612" s="385" t="s">
        <v>19</v>
      </c>
      <c r="H612" s="386">
        <v>0</v>
      </c>
      <c r="I612" s="386">
        <v>42917</v>
      </c>
      <c r="J612" s="386">
        <v>0</v>
      </c>
      <c r="K612" s="386">
        <v>27445.439999999999</v>
      </c>
      <c r="L612" s="387" t="s">
        <v>476</v>
      </c>
    </row>
    <row r="613" spans="1:12" ht="25.5" hidden="1">
      <c r="A613" s="385" t="s">
        <v>345</v>
      </c>
      <c r="B613" s="385" t="s">
        <v>266</v>
      </c>
      <c r="C613" s="385" t="s">
        <v>595</v>
      </c>
      <c r="D613" s="385" t="s">
        <v>380</v>
      </c>
      <c r="E613" s="385" t="s">
        <v>19</v>
      </c>
      <c r="F613" s="385" t="s">
        <v>477</v>
      </c>
      <c r="G613" s="385" t="s">
        <v>19</v>
      </c>
      <c r="H613" s="386">
        <v>0</v>
      </c>
      <c r="I613" s="386">
        <v>19012</v>
      </c>
      <c r="J613" s="386">
        <v>0</v>
      </c>
      <c r="K613" s="386">
        <v>19012</v>
      </c>
      <c r="L613" s="387" t="s">
        <v>478</v>
      </c>
    </row>
    <row r="614" spans="1:12" ht="25.5" hidden="1">
      <c r="A614" s="385" t="s">
        <v>345</v>
      </c>
      <c r="B614" s="385" t="s">
        <v>266</v>
      </c>
      <c r="C614" s="385" t="s">
        <v>595</v>
      </c>
      <c r="D614" s="385" t="s">
        <v>380</v>
      </c>
      <c r="E614" s="385" t="s">
        <v>19</v>
      </c>
      <c r="F614" s="385" t="s">
        <v>475</v>
      </c>
      <c r="G614" s="385" t="s">
        <v>19</v>
      </c>
      <c r="H614" s="386">
        <v>0</v>
      </c>
      <c r="I614" s="386">
        <v>3478</v>
      </c>
      <c r="J614" s="386">
        <v>0</v>
      </c>
      <c r="K614" s="386">
        <v>3349.65</v>
      </c>
      <c r="L614" s="387" t="s">
        <v>476</v>
      </c>
    </row>
    <row r="615" spans="1:12" hidden="1">
      <c r="A615" s="385" t="s">
        <v>345</v>
      </c>
      <c r="B615" s="385" t="s">
        <v>266</v>
      </c>
      <c r="C615" s="385" t="s">
        <v>596</v>
      </c>
      <c r="D615" s="385" t="s">
        <v>380</v>
      </c>
      <c r="E615" s="385" t="s">
        <v>19</v>
      </c>
      <c r="F615" s="385" t="s">
        <v>482</v>
      </c>
      <c r="G615" s="385" t="s">
        <v>19</v>
      </c>
      <c r="H615" s="386">
        <v>0</v>
      </c>
      <c r="I615" s="386">
        <v>530.22</v>
      </c>
      <c r="J615" s="386">
        <v>0</v>
      </c>
      <c r="K615" s="386">
        <v>530.22</v>
      </c>
      <c r="L615" s="387" t="s">
        <v>483</v>
      </c>
    </row>
    <row r="616" spans="1:12" hidden="1">
      <c r="A616" s="385" t="s">
        <v>345</v>
      </c>
      <c r="B616" s="385" t="s">
        <v>266</v>
      </c>
      <c r="C616" s="385" t="s">
        <v>597</v>
      </c>
      <c r="D616" s="385" t="s">
        <v>380</v>
      </c>
      <c r="E616" s="385" t="s">
        <v>19</v>
      </c>
      <c r="F616" s="385" t="s">
        <v>482</v>
      </c>
      <c r="G616" s="385" t="s">
        <v>19</v>
      </c>
      <c r="H616" s="386">
        <v>0</v>
      </c>
      <c r="I616" s="386">
        <v>153.15</v>
      </c>
      <c r="J616" s="386">
        <v>0</v>
      </c>
      <c r="K616" s="386">
        <v>153.15</v>
      </c>
      <c r="L616" s="387" t="s">
        <v>483</v>
      </c>
    </row>
    <row r="617" spans="1:12" hidden="1">
      <c r="A617" s="385" t="s">
        <v>345</v>
      </c>
      <c r="B617" s="385" t="s">
        <v>120</v>
      </c>
      <c r="C617" s="385" t="s">
        <v>521</v>
      </c>
      <c r="D617" s="385" t="s">
        <v>380</v>
      </c>
      <c r="E617" s="385" t="s">
        <v>19</v>
      </c>
      <c r="F617" s="385" t="s">
        <v>473</v>
      </c>
      <c r="G617" s="385" t="s">
        <v>19</v>
      </c>
      <c r="H617" s="386">
        <v>0</v>
      </c>
      <c r="I617" s="386">
        <v>500</v>
      </c>
      <c r="J617" s="386">
        <v>0</v>
      </c>
      <c r="K617" s="386">
        <v>0</v>
      </c>
      <c r="L617" s="387" t="s">
        <v>474</v>
      </c>
    </row>
    <row r="618" spans="1:12" ht="25.5" hidden="1">
      <c r="A618" s="385" t="s">
        <v>345</v>
      </c>
      <c r="B618" s="385" t="s">
        <v>120</v>
      </c>
      <c r="C618" s="385" t="s">
        <v>521</v>
      </c>
      <c r="D618" s="385" t="s">
        <v>380</v>
      </c>
      <c r="E618" s="385" t="s">
        <v>19</v>
      </c>
      <c r="F618" s="385" t="s">
        <v>488</v>
      </c>
      <c r="G618" s="385" t="s">
        <v>19</v>
      </c>
      <c r="H618" s="386">
        <v>0</v>
      </c>
      <c r="I618" s="386">
        <v>500</v>
      </c>
      <c r="J618" s="386">
        <v>0</v>
      </c>
      <c r="K618" s="386">
        <v>0</v>
      </c>
      <c r="L618" s="387" t="s">
        <v>489</v>
      </c>
    </row>
    <row r="619" spans="1:12" hidden="1">
      <c r="A619" s="385" t="s">
        <v>345</v>
      </c>
      <c r="B619" s="385" t="s">
        <v>120</v>
      </c>
      <c r="C619" s="385" t="s">
        <v>521</v>
      </c>
      <c r="D619" s="385" t="s">
        <v>380</v>
      </c>
      <c r="E619" s="385" t="s">
        <v>19</v>
      </c>
      <c r="F619" s="385" t="s">
        <v>471</v>
      </c>
      <c r="G619" s="385" t="s">
        <v>19</v>
      </c>
      <c r="H619" s="386">
        <v>0</v>
      </c>
      <c r="I619" s="386">
        <v>3800</v>
      </c>
      <c r="J619" s="386">
        <v>0</v>
      </c>
      <c r="K619" s="386">
        <v>2525.7399999999998</v>
      </c>
      <c r="L619" s="387" t="s">
        <v>472</v>
      </c>
    </row>
    <row r="620" spans="1:12" ht="25.5" hidden="1">
      <c r="A620" s="385" t="s">
        <v>345</v>
      </c>
      <c r="B620" s="385" t="s">
        <v>120</v>
      </c>
      <c r="C620" s="385" t="s">
        <v>523</v>
      </c>
      <c r="D620" s="385" t="s">
        <v>380</v>
      </c>
      <c r="E620" s="385" t="s">
        <v>19</v>
      </c>
      <c r="F620" s="385" t="s">
        <v>488</v>
      </c>
      <c r="G620" s="385" t="s">
        <v>19</v>
      </c>
      <c r="H620" s="386">
        <v>0</v>
      </c>
      <c r="I620" s="386">
        <v>27324</v>
      </c>
      <c r="J620" s="386">
        <v>0</v>
      </c>
      <c r="K620" s="386">
        <v>0</v>
      </c>
      <c r="L620" s="387" t="s">
        <v>489</v>
      </c>
    </row>
    <row r="621" spans="1:12" hidden="1">
      <c r="A621" s="385" t="s">
        <v>345</v>
      </c>
      <c r="B621" s="385" t="s">
        <v>120</v>
      </c>
      <c r="C621" s="385" t="s">
        <v>523</v>
      </c>
      <c r="D621" s="385" t="s">
        <v>380</v>
      </c>
      <c r="E621" s="385" t="s">
        <v>19</v>
      </c>
      <c r="F621" s="385" t="s">
        <v>473</v>
      </c>
      <c r="G621" s="385" t="s">
        <v>19</v>
      </c>
      <c r="H621" s="386">
        <v>0</v>
      </c>
      <c r="I621" s="386">
        <v>725419.49</v>
      </c>
      <c r="J621" s="386">
        <v>0</v>
      </c>
      <c r="K621" s="386">
        <v>472413.14</v>
      </c>
      <c r="L621" s="387" t="s">
        <v>474</v>
      </c>
    </row>
    <row r="622" spans="1:12" hidden="1">
      <c r="A622" s="385" t="s">
        <v>345</v>
      </c>
      <c r="B622" s="385" t="s">
        <v>120</v>
      </c>
      <c r="C622" s="385" t="s">
        <v>523</v>
      </c>
      <c r="D622" s="385" t="s">
        <v>380</v>
      </c>
      <c r="E622" s="385" t="s">
        <v>19</v>
      </c>
      <c r="F622" s="385" t="s">
        <v>471</v>
      </c>
      <c r="G622" s="385" t="s">
        <v>19</v>
      </c>
      <c r="H622" s="386">
        <v>0</v>
      </c>
      <c r="I622" s="386">
        <v>1158322</v>
      </c>
      <c r="J622" s="386">
        <v>0</v>
      </c>
      <c r="K622" s="386">
        <v>747188.82</v>
      </c>
      <c r="L622" s="387" t="s">
        <v>472</v>
      </c>
    </row>
    <row r="623" spans="1:12" hidden="1">
      <c r="A623" s="385" t="s">
        <v>345</v>
      </c>
      <c r="B623" s="385" t="s">
        <v>120</v>
      </c>
      <c r="C623" s="385" t="s">
        <v>524</v>
      </c>
      <c r="D623" s="385" t="s">
        <v>380</v>
      </c>
      <c r="E623" s="385" t="s">
        <v>19</v>
      </c>
      <c r="F623" s="385" t="s">
        <v>473</v>
      </c>
      <c r="G623" s="385" t="s">
        <v>19</v>
      </c>
      <c r="H623" s="386">
        <v>0</v>
      </c>
      <c r="I623" s="386">
        <v>59293.51</v>
      </c>
      <c r="J623" s="386">
        <v>0</v>
      </c>
      <c r="K623" s="386">
        <v>59293.51</v>
      </c>
      <c r="L623" s="387" t="s">
        <v>474</v>
      </c>
    </row>
    <row r="624" spans="1:12" hidden="1">
      <c r="A624" s="385" t="s">
        <v>345</v>
      </c>
      <c r="B624" s="385" t="s">
        <v>120</v>
      </c>
      <c r="C624" s="385" t="s">
        <v>524</v>
      </c>
      <c r="D624" s="385" t="s">
        <v>380</v>
      </c>
      <c r="E624" s="385" t="s">
        <v>19</v>
      </c>
      <c r="F624" s="385" t="s">
        <v>471</v>
      </c>
      <c r="G624" s="385" t="s">
        <v>19</v>
      </c>
      <c r="H624" s="386">
        <v>0</v>
      </c>
      <c r="I624" s="386">
        <v>79928</v>
      </c>
      <c r="J624" s="386">
        <v>0</v>
      </c>
      <c r="K624" s="386">
        <v>79927.87</v>
      </c>
      <c r="L624" s="387" t="s">
        <v>472</v>
      </c>
    </row>
    <row r="625" spans="1:12" hidden="1">
      <c r="A625" s="385" t="s">
        <v>345</v>
      </c>
      <c r="B625" s="385" t="s">
        <v>120</v>
      </c>
      <c r="C625" s="385" t="s">
        <v>525</v>
      </c>
      <c r="D625" s="385" t="s">
        <v>380</v>
      </c>
      <c r="E625" s="385" t="s">
        <v>19</v>
      </c>
      <c r="F625" s="385" t="s">
        <v>473</v>
      </c>
      <c r="G625" s="385" t="s">
        <v>19</v>
      </c>
      <c r="H625" s="386">
        <v>0</v>
      </c>
      <c r="I625" s="386">
        <v>1139031</v>
      </c>
      <c r="J625" s="386">
        <v>0</v>
      </c>
      <c r="K625" s="386">
        <v>657303.73</v>
      </c>
      <c r="L625" s="387" t="s">
        <v>474</v>
      </c>
    </row>
    <row r="626" spans="1:12" ht="25.5" hidden="1">
      <c r="A626" s="385" t="s">
        <v>345</v>
      </c>
      <c r="B626" s="385" t="s">
        <v>120</v>
      </c>
      <c r="C626" s="385" t="s">
        <v>525</v>
      </c>
      <c r="D626" s="385" t="s">
        <v>380</v>
      </c>
      <c r="E626" s="385" t="s">
        <v>19</v>
      </c>
      <c r="F626" s="385" t="s">
        <v>488</v>
      </c>
      <c r="G626" s="385" t="s">
        <v>19</v>
      </c>
      <c r="H626" s="386">
        <v>0</v>
      </c>
      <c r="I626" s="386">
        <v>23421</v>
      </c>
      <c r="J626" s="386">
        <v>0</v>
      </c>
      <c r="K626" s="386">
        <v>0</v>
      </c>
      <c r="L626" s="387" t="s">
        <v>489</v>
      </c>
    </row>
    <row r="627" spans="1:12" hidden="1">
      <c r="A627" s="385" t="s">
        <v>345</v>
      </c>
      <c r="B627" s="385" t="s">
        <v>120</v>
      </c>
      <c r="C627" s="385" t="s">
        <v>525</v>
      </c>
      <c r="D627" s="385" t="s">
        <v>380</v>
      </c>
      <c r="E627" s="385" t="s">
        <v>19</v>
      </c>
      <c r="F627" s="385" t="s">
        <v>471</v>
      </c>
      <c r="G627" s="385" t="s">
        <v>19</v>
      </c>
      <c r="H627" s="386">
        <v>0</v>
      </c>
      <c r="I627" s="386">
        <v>1223947</v>
      </c>
      <c r="J627" s="386">
        <v>0</v>
      </c>
      <c r="K627" s="386">
        <v>649499.37</v>
      </c>
      <c r="L627" s="387" t="s">
        <v>472</v>
      </c>
    </row>
    <row r="628" spans="1:12" ht="25.5" hidden="1">
      <c r="A628" s="385" t="s">
        <v>345</v>
      </c>
      <c r="B628" s="385" t="s">
        <v>120</v>
      </c>
      <c r="C628" s="385" t="s">
        <v>526</v>
      </c>
      <c r="D628" s="385" t="s">
        <v>380</v>
      </c>
      <c r="E628" s="385" t="s">
        <v>19</v>
      </c>
      <c r="F628" s="385" t="s">
        <v>488</v>
      </c>
      <c r="G628" s="385" t="s">
        <v>19</v>
      </c>
      <c r="H628" s="386">
        <v>0</v>
      </c>
      <c r="I628" s="386">
        <v>4053</v>
      </c>
      <c r="J628" s="386">
        <v>0</v>
      </c>
      <c r="K628" s="386">
        <v>0</v>
      </c>
      <c r="L628" s="387" t="s">
        <v>489</v>
      </c>
    </row>
    <row r="629" spans="1:12" hidden="1">
      <c r="A629" s="385" t="s">
        <v>345</v>
      </c>
      <c r="B629" s="385" t="s">
        <v>120</v>
      </c>
      <c r="C629" s="385" t="s">
        <v>526</v>
      </c>
      <c r="D629" s="385" t="s">
        <v>380</v>
      </c>
      <c r="E629" s="385" t="s">
        <v>19</v>
      </c>
      <c r="F629" s="385" t="s">
        <v>473</v>
      </c>
      <c r="G629" s="385" t="s">
        <v>19</v>
      </c>
      <c r="H629" s="386">
        <v>0</v>
      </c>
      <c r="I629" s="386">
        <v>163194</v>
      </c>
      <c r="J629" s="386">
        <v>0</v>
      </c>
      <c r="K629" s="386">
        <v>75408.25</v>
      </c>
      <c r="L629" s="387" t="s">
        <v>474</v>
      </c>
    </row>
    <row r="630" spans="1:12" hidden="1">
      <c r="A630" s="385" t="s">
        <v>345</v>
      </c>
      <c r="B630" s="385" t="s">
        <v>120</v>
      </c>
      <c r="C630" s="385" t="s">
        <v>526</v>
      </c>
      <c r="D630" s="385" t="s">
        <v>380</v>
      </c>
      <c r="E630" s="385" t="s">
        <v>19</v>
      </c>
      <c r="F630" s="385" t="s">
        <v>471</v>
      </c>
      <c r="G630" s="385" t="s">
        <v>19</v>
      </c>
      <c r="H630" s="386">
        <v>0</v>
      </c>
      <c r="I630" s="386">
        <v>175236</v>
      </c>
      <c r="J630" s="386">
        <v>0</v>
      </c>
      <c r="K630" s="386">
        <v>62417.94</v>
      </c>
      <c r="L630" s="387" t="s">
        <v>472</v>
      </c>
    </row>
    <row r="631" spans="1:12" hidden="1">
      <c r="A631" s="385" t="s">
        <v>345</v>
      </c>
      <c r="B631" s="385" t="s">
        <v>120</v>
      </c>
      <c r="C631" s="385" t="s">
        <v>527</v>
      </c>
      <c r="D631" s="385" t="s">
        <v>380</v>
      </c>
      <c r="E631" s="385" t="s">
        <v>19</v>
      </c>
      <c r="F631" s="385" t="s">
        <v>473</v>
      </c>
      <c r="G631" s="385" t="s">
        <v>19</v>
      </c>
      <c r="H631" s="386">
        <v>0</v>
      </c>
      <c r="I631" s="386">
        <v>30150</v>
      </c>
      <c r="J631" s="386">
        <v>0</v>
      </c>
      <c r="K631" s="386">
        <v>15695.27</v>
      </c>
      <c r="L631" s="387" t="s">
        <v>474</v>
      </c>
    </row>
    <row r="632" spans="1:12" hidden="1">
      <c r="A632" s="385" t="s">
        <v>345</v>
      </c>
      <c r="B632" s="385" t="s">
        <v>120</v>
      </c>
      <c r="C632" s="385" t="s">
        <v>527</v>
      </c>
      <c r="D632" s="385" t="s">
        <v>380</v>
      </c>
      <c r="E632" s="385" t="s">
        <v>19</v>
      </c>
      <c r="F632" s="385" t="s">
        <v>471</v>
      </c>
      <c r="G632" s="385" t="s">
        <v>19</v>
      </c>
      <c r="H632" s="386">
        <v>0</v>
      </c>
      <c r="I632" s="386">
        <v>18000</v>
      </c>
      <c r="J632" s="386">
        <v>0</v>
      </c>
      <c r="K632" s="386">
        <v>10080.68</v>
      </c>
      <c r="L632" s="387" t="s">
        <v>472</v>
      </c>
    </row>
    <row r="633" spans="1:12" hidden="1">
      <c r="A633" s="385" t="s">
        <v>345</v>
      </c>
      <c r="B633" s="385" t="s">
        <v>120</v>
      </c>
      <c r="C633" s="385" t="s">
        <v>528</v>
      </c>
      <c r="D633" s="385" t="s">
        <v>380</v>
      </c>
      <c r="E633" s="385" t="s">
        <v>19</v>
      </c>
      <c r="F633" s="385" t="s">
        <v>471</v>
      </c>
      <c r="G633" s="385" t="s">
        <v>19</v>
      </c>
      <c r="H633" s="386">
        <v>0</v>
      </c>
      <c r="I633" s="386">
        <v>72206</v>
      </c>
      <c r="J633" s="386">
        <v>0</v>
      </c>
      <c r="K633" s="386">
        <v>56010.239999999998</v>
      </c>
      <c r="L633" s="387" t="s">
        <v>472</v>
      </c>
    </row>
    <row r="634" spans="1:12" hidden="1">
      <c r="A634" s="385" t="s">
        <v>345</v>
      </c>
      <c r="B634" s="385" t="s">
        <v>120</v>
      </c>
      <c r="C634" s="385" t="s">
        <v>528</v>
      </c>
      <c r="D634" s="385" t="s">
        <v>380</v>
      </c>
      <c r="E634" s="385" t="s">
        <v>19</v>
      </c>
      <c r="F634" s="385" t="s">
        <v>473</v>
      </c>
      <c r="G634" s="385" t="s">
        <v>19</v>
      </c>
      <c r="H634" s="386">
        <v>0</v>
      </c>
      <c r="I634" s="386">
        <v>41915</v>
      </c>
      <c r="J634" s="386">
        <v>0</v>
      </c>
      <c r="K634" s="386">
        <v>31828.28</v>
      </c>
      <c r="L634" s="387" t="s">
        <v>474</v>
      </c>
    </row>
    <row r="635" spans="1:12" ht="25.5" hidden="1">
      <c r="A635" s="385" t="s">
        <v>345</v>
      </c>
      <c r="B635" s="385" t="s">
        <v>120</v>
      </c>
      <c r="C635" s="385" t="s">
        <v>528</v>
      </c>
      <c r="D635" s="385" t="s">
        <v>380</v>
      </c>
      <c r="E635" s="385" t="s">
        <v>19</v>
      </c>
      <c r="F635" s="385" t="s">
        <v>389</v>
      </c>
      <c r="G635" s="385" t="s">
        <v>19</v>
      </c>
      <c r="H635" s="386">
        <v>0</v>
      </c>
      <c r="I635" s="386">
        <v>0</v>
      </c>
      <c r="J635" s="386">
        <v>0</v>
      </c>
      <c r="K635" s="386">
        <v>0</v>
      </c>
      <c r="L635" s="387" t="s">
        <v>390</v>
      </c>
    </row>
    <row r="636" spans="1:12" hidden="1">
      <c r="A636" s="385" t="s">
        <v>345</v>
      </c>
      <c r="B636" s="385" t="s">
        <v>120</v>
      </c>
      <c r="C636" s="385" t="s">
        <v>529</v>
      </c>
      <c r="D636" s="385" t="s">
        <v>380</v>
      </c>
      <c r="E636" s="385" t="s">
        <v>19</v>
      </c>
      <c r="F636" s="385" t="s">
        <v>471</v>
      </c>
      <c r="G636" s="385" t="s">
        <v>19</v>
      </c>
      <c r="H636" s="386">
        <v>0</v>
      </c>
      <c r="I636" s="386">
        <v>2400</v>
      </c>
      <c r="J636" s="386">
        <v>0</v>
      </c>
      <c r="K636" s="386">
        <v>2247.11</v>
      </c>
      <c r="L636" s="387" t="s">
        <v>472</v>
      </c>
    </row>
    <row r="637" spans="1:12" hidden="1">
      <c r="A637" s="385" t="s">
        <v>345</v>
      </c>
      <c r="B637" s="385" t="s">
        <v>120</v>
      </c>
      <c r="C637" s="385" t="s">
        <v>598</v>
      </c>
      <c r="D637" s="385" t="s">
        <v>380</v>
      </c>
      <c r="E637" s="385" t="s">
        <v>19</v>
      </c>
      <c r="F637" s="385" t="s">
        <v>471</v>
      </c>
      <c r="G637" s="385" t="s">
        <v>19</v>
      </c>
      <c r="H637" s="386">
        <v>0</v>
      </c>
      <c r="I637" s="386">
        <v>6500</v>
      </c>
      <c r="J637" s="386">
        <v>0</v>
      </c>
      <c r="K637" s="386">
        <v>5495.35</v>
      </c>
      <c r="L637" s="387" t="s">
        <v>472</v>
      </c>
    </row>
    <row r="638" spans="1:12" hidden="1">
      <c r="A638" s="385" t="s">
        <v>345</v>
      </c>
      <c r="B638" s="385" t="s">
        <v>120</v>
      </c>
      <c r="C638" s="385" t="s">
        <v>598</v>
      </c>
      <c r="D638" s="385" t="s">
        <v>380</v>
      </c>
      <c r="E638" s="385" t="s">
        <v>19</v>
      </c>
      <c r="F638" s="385" t="s">
        <v>473</v>
      </c>
      <c r="G638" s="385" t="s">
        <v>19</v>
      </c>
      <c r="H638" s="386">
        <v>0</v>
      </c>
      <c r="I638" s="386">
        <v>7770</v>
      </c>
      <c r="J638" s="386">
        <v>0</v>
      </c>
      <c r="K638" s="386">
        <v>4422.7700000000004</v>
      </c>
      <c r="L638" s="387" t="s">
        <v>474</v>
      </c>
    </row>
    <row r="639" spans="1:12" hidden="1">
      <c r="A639" s="385" t="s">
        <v>345</v>
      </c>
      <c r="B639" s="385" t="s">
        <v>120</v>
      </c>
      <c r="C639" s="385" t="s">
        <v>530</v>
      </c>
      <c r="D639" s="385" t="s">
        <v>380</v>
      </c>
      <c r="E639" s="385" t="s">
        <v>19</v>
      </c>
      <c r="F639" s="385" t="s">
        <v>471</v>
      </c>
      <c r="G639" s="385" t="s">
        <v>19</v>
      </c>
      <c r="H639" s="386">
        <v>0</v>
      </c>
      <c r="I639" s="386">
        <v>341847</v>
      </c>
      <c r="J639" s="386">
        <v>0</v>
      </c>
      <c r="K639" s="386">
        <v>260050.35</v>
      </c>
      <c r="L639" s="387" t="s">
        <v>472</v>
      </c>
    </row>
    <row r="640" spans="1:12" hidden="1">
      <c r="A640" s="385" t="s">
        <v>345</v>
      </c>
      <c r="B640" s="385" t="s">
        <v>120</v>
      </c>
      <c r="C640" s="385" t="s">
        <v>530</v>
      </c>
      <c r="D640" s="385" t="s">
        <v>380</v>
      </c>
      <c r="E640" s="385" t="s">
        <v>19</v>
      </c>
      <c r="F640" s="385" t="s">
        <v>473</v>
      </c>
      <c r="G640" s="385" t="s">
        <v>19</v>
      </c>
      <c r="H640" s="386">
        <v>0</v>
      </c>
      <c r="I640" s="386">
        <v>275000</v>
      </c>
      <c r="J640" s="386">
        <v>0</v>
      </c>
      <c r="K640" s="386">
        <v>213332.85</v>
      </c>
      <c r="L640" s="387" t="s">
        <v>474</v>
      </c>
    </row>
    <row r="641" spans="1:12" hidden="1">
      <c r="A641" s="385" t="s">
        <v>345</v>
      </c>
      <c r="B641" s="385" t="s">
        <v>120</v>
      </c>
      <c r="C641" s="385" t="s">
        <v>416</v>
      </c>
      <c r="D641" s="385" t="s">
        <v>380</v>
      </c>
      <c r="E641" s="385" t="s">
        <v>19</v>
      </c>
      <c r="F641" s="385" t="s">
        <v>471</v>
      </c>
      <c r="G641" s="385" t="s">
        <v>19</v>
      </c>
      <c r="H641" s="386">
        <v>0</v>
      </c>
      <c r="I641" s="386">
        <v>63747</v>
      </c>
      <c r="J641" s="386">
        <v>0</v>
      </c>
      <c r="K641" s="386">
        <v>32908.1</v>
      </c>
      <c r="L641" s="387" t="s">
        <v>472</v>
      </c>
    </row>
    <row r="642" spans="1:12" hidden="1">
      <c r="A642" s="385" t="s">
        <v>345</v>
      </c>
      <c r="B642" s="385" t="s">
        <v>120</v>
      </c>
      <c r="C642" s="385" t="s">
        <v>416</v>
      </c>
      <c r="D642" s="385" t="s">
        <v>380</v>
      </c>
      <c r="E642" s="385" t="s">
        <v>19</v>
      </c>
      <c r="F642" s="385" t="s">
        <v>473</v>
      </c>
      <c r="G642" s="385" t="s">
        <v>19</v>
      </c>
      <c r="H642" s="386">
        <v>0</v>
      </c>
      <c r="I642" s="386">
        <v>84860</v>
      </c>
      <c r="J642" s="386">
        <v>0</v>
      </c>
      <c r="K642" s="386">
        <v>0</v>
      </c>
      <c r="L642" s="387" t="s">
        <v>474</v>
      </c>
    </row>
    <row r="643" spans="1:12" hidden="1">
      <c r="A643" s="385" t="s">
        <v>345</v>
      </c>
      <c r="B643" s="385" t="s">
        <v>120</v>
      </c>
      <c r="C643" s="385" t="s">
        <v>531</v>
      </c>
      <c r="D643" s="385" t="s">
        <v>380</v>
      </c>
      <c r="E643" s="385" t="s">
        <v>19</v>
      </c>
      <c r="F643" s="385" t="s">
        <v>471</v>
      </c>
      <c r="G643" s="385" t="s">
        <v>19</v>
      </c>
      <c r="H643" s="386">
        <v>0</v>
      </c>
      <c r="I643" s="386">
        <v>4800</v>
      </c>
      <c r="J643" s="386">
        <v>0</v>
      </c>
      <c r="K643" s="386">
        <v>4783.84</v>
      </c>
      <c r="L643" s="387" t="s">
        <v>472</v>
      </c>
    </row>
    <row r="644" spans="1:12" hidden="1">
      <c r="A644" s="385" t="s">
        <v>345</v>
      </c>
      <c r="B644" s="385" t="s">
        <v>120</v>
      </c>
      <c r="C644" s="385" t="s">
        <v>531</v>
      </c>
      <c r="D644" s="385" t="s">
        <v>380</v>
      </c>
      <c r="E644" s="385" t="s">
        <v>19</v>
      </c>
      <c r="F644" s="385" t="s">
        <v>473</v>
      </c>
      <c r="G644" s="385" t="s">
        <v>19</v>
      </c>
      <c r="H644" s="386">
        <v>0</v>
      </c>
      <c r="I644" s="386">
        <v>7862</v>
      </c>
      <c r="J644" s="386">
        <v>0</v>
      </c>
      <c r="K644" s="386">
        <v>3718.7</v>
      </c>
      <c r="L644" s="387" t="s">
        <v>474</v>
      </c>
    </row>
    <row r="645" spans="1:12" hidden="1">
      <c r="A645" s="385" t="s">
        <v>345</v>
      </c>
      <c r="B645" s="385" t="s">
        <v>120</v>
      </c>
      <c r="C645" s="385" t="s">
        <v>510</v>
      </c>
      <c r="D645" s="385" t="s">
        <v>380</v>
      </c>
      <c r="E645" s="385" t="s">
        <v>19</v>
      </c>
      <c r="F645" s="385" t="s">
        <v>473</v>
      </c>
      <c r="G645" s="385" t="s">
        <v>19</v>
      </c>
      <c r="H645" s="386">
        <v>0</v>
      </c>
      <c r="I645" s="386">
        <v>96419</v>
      </c>
      <c r="J645" s="386">
        <v>0</v>
      </c>
      <c r="K645" s="386">
        <v>62253.53</v>
      </c>
      <c r="L645" s="387" t="s">
        <v>474</v>
      </c>
    </row>
    <row r="646" spans="1:12" hidden="1">
      <c r="A646" s="385" t="s">
        <v>345</v>
      </c>
      <c r="B646" s="385" t="s">
        <v>120</v>
      </c>
      <c r="C646" s="385" t="s">
        <v>510</v>
      </c>
      <c r="D646" s="385" t="s">
        <v>380</v>
      </c>
      <c r="E646" s="385" t="s">
        <v>19</v>
      </c>
      <c r="F646" s="385" t="s">
        <v>471</v>
      </c>
      <c r="G646" s="385" t="s">
        <v>19</v>
      </c>
      <c r="H646" s="386">
        <v>0</v>
      </c>
      <c r="I646" s="386">
        <v>60022</v>
      </c>
      <c r="J646" s="386">
        <v>0</v>
      </c>
      <c r="K646" s="386">
        <v>59230.63</v>
      </c>
      <c r="L646" s="387" t="s">
        <v>472</v>
      </c>
    </row>
    <row r="647" spans="1:12" hidden="1">
      <c r="A647" s="385" t="s">
        <v>345</v>
      </c>
      <c r="B647" s="385" t="s">
        <v>120</v>
      </c>
      <c r="C647" s="385" t="s">
        <v>590</v>
      </c>
      <c r="D647" s="385" t="s">
        <v>380</v>
      </c>
      <c r="E647" s="385" t="s">
        <v>19</v>
      </c>
      <c r="F647" s="385" t="s">
        <v>482</v>
      </c>
      <c r="G647" s="385" t="s">
        <v>19</v>
      </c>
      <c r="H647" s="386">
        <v>0</v>
      </c>
      <c r="I647" s="386">
        <v>9171.23</v>
      </c>
      <c r="J647" s="386">
        <v>0</v>
      </c>
      <c r="K647" s="386">
        <v>9171.23</v>
      </c>
      <c r="L647" s="387" t="s">
        <v>483</v>
      </c>
    </row>
    <row r="648" spans="1:12" hidden="1">
      <c r="A648" s="385" t="s">
        <v>345</v>
      </c>
      <c r="B648" s="385" t="s">
        <v>120</v>
      </c>
      <c r="C648" s="385" t="s">
        <v>532</v>
      </c>
      <c r="D648" s="385" t="s">
        <v>380</v>
      </c>
      <c r="E648" s="385" t="s">
        <v>19</v>
      </c>
      <c r="F648" s="385" t="s">
        <v>471</v>
      </c>
      <c r="G648" s="385" t="s">
        <v>19</v>
      </c>
      <c r="H648" s="386">
        <v>0</v>
      </c>
      <c r="I648" s="386">
        <v>4200</v>
      </c>
      <c r="J648" s="386">
        <v>0</v>
      </c>
      <c r="K648" s="386">
        <v>2686.77</v>
      </c>
      <c r="L648" s="387" t="s">
        <v>472</v>
      </c>
    </row>
    <row r="649" spans="1:12" hidden="1">
      <c r="A649" s="385" t="s">
        <v>345</v>
      </c>
      <c r="B649" s="385" t="s">
        <v>120</v>
      </c>
      <c r="C649" s="385" t="s">
        <v>532</v>
      </c>
      <c r="D649" s="385" t="s">
        <v>380</v>
      </c>
      <c r="E649" s="385" t="s">
        <v>19</v>
      </c>
      <c r="F649" s="385" t="s">
        <v>473</v>
      </c>
      <c r="G649" s="385" t="s">
        <v>19</v>
      </c>
      <c r="H649" s="386">
        <v>0</v>
      </c>
      <c r="I649" s="386">
        <v>4122</v>
      </c>
      <c r="J649" s="386">
        <v>0</v>
      </c>
      <c r="K649" s="386">
        <v>2104.85</v>
      </c>
      <c r="L649" s="387" t="s">
        <v>474</v>
      </c>
    </row>
    <row r="650" spans="1:12" hidden="1">
      <c r="A650" s="385" t="s">
        <v>345</v>
      </c>
      <c r="B650" s="385" t="s">
        <v>120</v>
      </c>
      <c r="C650" s="385" t="s">
        <v>591</v>
      </c>
      <c r="D650" s="385" t="s">
        <v>380</v>
      </c>
      <c r="E650" s="385" t="s">
        <v>19</v>
      </c>
      <c r="F650" s="385" t="s">
        <v>482</v>
      </c>
      <c r="G650" s="385" t="s">
        <v>19</v>
      </c>
      <c r="H650" s="386">
        <v>0</v>
      </c>
      <c r="I650" s="386">
        <v>2219.16</v>
      </c>
      <c r="J650" s="386">
        <v>0</v>
      </c>
      <c r="K650" s="386">
        <v>2219.16</v>
      </c>
      <c r="L650" s="387" t="s">
        <v>483</v>
      </c>
    </row>
    <row r="651" spans="1:12" hidden="1">
      <c r="A651" s="385" t="s">
        <v>345</v>
      </c>
      <c r="B651" s="385" t="s">
        <v>120</v>
      </c>
      <c r="C651" s="385" t="s">
        <v>533</v>
      </c>
      <c r="D651" s="385" t="s">
        <v>380</v>
      </c>
      <c r="E651" s="385" t="s">
        <v>19</v>
      </c>
      <c r="F651" s="385" t="s">
        <v>471</v>
      </c>
      <c r="G651" s="385" t="s">
        <v>19</v>
      </c>
      <c r="H651" s="386">
        <v>0</v>
      </c>
      <c r="I651" s="386">
        <v>3583.92</v>
      </c>
      <c r="J651" s="386">
        <v>0</v>
      </c>
      <c r="K651" s="386">
        <v>3364.44</v>
      </c>
      <c r="L651" s="387" t="s">
        <v>472</v>
      </c>
    </row>
    <row r="652" spans="1:12" hidden="1">
      <c r="A652" s="385" t="s">
        <v>345</v>
      </c>
      <c r="B652" s="385" t="s">
        <v>120</v>
      </c>
      <c r="C652" s="385" t="s">
        <v>533</v>
      </c>
      <c r="D652" s="385" t="s">
        <v>380</v>
      </c>
      <c r="E652" s="385" t="s">
        <v>19</v>
      </c>
      <c r="F652" s="385" t="s">
        <v>473</v>
      </c>
      <c r="G652" s="385" t="s">
        <v>19</v>
      </c>
      <c r="H652" s="386">
        <v>0</v>
      </c>
      <c r="I652" s="386">
        <v>2611</v>
      </c>
      <c r="J652" s="386">
        <v>0</v>
      </c>
      <c r="K652" s="386">
        <v>1801.91</v>
      </c>
      <c r="L652" s="387" t="s">
        <v>474</v>
      </c>
    </row>
    <row r="653" spans="1:12" hidden="1">
      <c r="A653" s="385" t="s">
        <v>345</v>
      </c>
      <c r="B653" s="385" t="s">
        <v>120</v>
      </c>
      <c r="C653" s="385" t="s">
        <v>534</v>
      </c>
      <c r="D653" s="385" t="s">
        <v>380</v>
      </c>
      <c r="E653" s="385" t="s">
        <v>19</v>
      </c>
      <c r="F653" s="385" t="s">
        <v>473</v>
      </c>
      <c r="G653" s="385" t="s">
        <v>19</v>
      </c>
      <c r="H653" s="386">
        <v>0</v>
      </c>
      <c r="I653" s="386">
        <v>3161</v>
      </c>
      <c r="J653" s="386">
        <v>0</v>
      </c>
      <c r="K653" s="386">
        <v>2213.52</v>
      </c>
      <c r="L653" s="387" t="s">
        <v>474</v>
      </c>
    </row>
    <row r="654" spans="1:12" hidden="1">
      <c r="A654" s="385" t="s">
        <v>345</v>
      </c>
      <c r="B654" s="385" t="s">
        <v>120</v>
      </c>
      <c r="C654" s="385" t="s">
        <v>535</v>
      </c>
      <c r="D654" s="385" t="s">
        <v>380</v>
      </c>
      <c r="E654" s="385" t="s">
        <v>19</v>
      </c>
      <c r="F654" s="385" t="s">
        <v>473</v>
      </c>
      <c r="G654" s="385" t="s">
        <v>19</v>
      </c>
      <c r="H654" s="386">
        <v>0</v>
      </c>
      <c r="I654" s="386">
        <v>285889</v>
      </c>
      <c r="J654" s="386">
        <v>0</v>
      </c>
      <c r="K654" s="386">
        <v>213729</v>
      </c>
      <c r="L654" s="387" t="s">
        <v>474</v>
      </c>
    </row>
    <row r="655" spans="1:12" hidden="1">
      <c r="A655" s="385" t="s">
        <v>345</v>
      </c>
      <c r="B655" s="385" t="s">
        <v>120</v>
      </c>
      <c r="C655" s="385" t="s">
        <v>535</v>
      </c>
      <c r="D655" s="385" t="s">
        <v>380</v>
      </c>
      <c r="E655" s="385" t="s">
        <v>19</v>
      </c>
      <c r="F655" s="385" t="s">
        <v>471</v>
      </c>
      <c r="G655" s="385" t="s">
        <v>19</v>
      </c>
      <c r="H655" s="386">
        <v>0</v>
      </c>
      <c r="I655" s="386">
        <v>385539</v>
      </c>
      <c r="J655" s="386">
        <v>0</v>
      </c>
      <c r="K655" s="386">
        <v>286597.64</v>
      </c>
      <c r="L655" s="387" t="s">
        <v>472</v>
      </c>
    </row>
    <row r="656" spans="1:12" hidden="1">
      <c r="A656" s="385" t="s">
        <v>345</v>
      </c>
      <c r="B656" s="385" t="s">
        <v>120</v>
      </c>
      <c r="C656" s="385" t="s">
        <v>536</v>
      </c>
      <c r="D656" s="385" t="s">
        <v>380</v>
      </c>
      <c r="E656" s="385" t="s">
        <v>19</v>
      </c>
      <c r="F656" s="385" t="s">
        <v>473</v>
      </c>
      <c r="G656" s="385" t="s">
        <v>19</v>
      </c>
      <c r="H656" s="386">
        <v>0</v>
      </c>
      <c r="I656" s="386">
        <v>268</v>
      </c>
      <c r="J656" s="386">
        <v>0</v>
      </c>
      <c r="K656" s="386">
        <v>268</v>
      </c>
      <c r="L656" s="387" t="s">
        <v>474</v>
      </c>
    </row>
    <row r="657" spans="1:12" hidden="1">
      <c r="A657" s="385" t="s">
        <v>345</v>
      </c>
      <c r="B657" s="385" t="s">
        <v>120</v>
      </c>
      <c r="C657" s="385" t="s">
        <v>537</v>
      </c>
      <c r="D657" s="385" t="s">
        <v>380</v>
      </c>
      <c r="E657" s="385" t="s">
        <v>19</v>
      </c>
      <c r="F657" s="385" t="s">
        <v>471</v>
      </c>
      <c r="G657" s="385" t="s">
        <v>19</v>
      </c>
      <c r="H657" s="386">
        <v>0</v>
      </c>
      <c r="I657" s="386">
        <v>160</v>
      </c>
      <c r="J657" s="386">
        <v>0</v>
      </c>
      <c r="K657" s="386">
        <v>0</v>
      </c>
      <c r="L657" s="387" t="s">
        <v>472</v>
      </c>
    </row>
    <row r="658" spans="1:12" hidden="1">
      <c r="A658" s="385" t="s">
        <v>345</v>
      </c>
      <c r="B658" s="385" t="s">
        <v>120</v>
      </c>
      <c r="C658" s="385" t="s">
        <v>538</v>
      </c>
      <c r="D658" s="385" t="s">
        <v>380</v>
      </c>
      <c r="E658" s="385" t="s">
        <v>19</v>
      </c>
      <c r="F658" s="385" t="s">
        <v>386</v>
      </c>
      <c r="G658" s="385" t="s">
        <v>19</v>
      </c>
      <c r="H658" s="386">
        <v>0</v>
      </c>
      <c r="I658" s="386">
        <v>15000</v>
      </c>
      <c r="J658" s="386">
        <v>0</v>
      </c>
      <c r="K658" s="386">
        <v>0</v>
      </c>
      <c r="L658" s="387" t="s">
        <v>387</v>
      </c>
    </row>
    <row r="659" spans="1:12" hidden="1">
      <c r="A659" s="385" t="s">
        <v>345</v>
      </c>
      <c r="B659" s="385" t="s">
        <v>120</v>
      </c>
      <c r="C659" s="385" t="s">
        <v>539</v>
      </c>
      <c r="D659" s="385" t="s">
        <v>380</v>
      </c>
      <c r="E659" s="385" t="s">
        <v>19</v>
      </c>
      <c r="F659" s="385" t="s">
        <v>471</v>
      </c>
      <c r="G659" s="385" t="s">
        <v>19</v>
      </c>
      <c r="H659" s="386">
        <v>0</v>
      </c>
      <c r="I659" s="386">
        <v>130</v>
      </c>
      <c r="J659" s="386">
        <v>0</v>
      </c>
      <c r="K659" s="386">
        <v>19.95</v>
      </c>
      <c r="L659" s="387" t="s">
        <v>472</v>
      </c>
    </row>
    <row r="660" spans="1:12" hidden="1">
      <c r="A660" s="385" t="s">
        <v>345</v>
      </c>
      <c r="B660" s="385" t="s">
        <v>120</v>
      </c>
      <c r="C660" s="385" t="s">
        <v>540</v>
      </c>
      <c r="D660" s="385" t="s">
        <v>380</v>
      </c>
      <c r="E660" s="385" t="s">
        <v>19</v>
      </c>
      <c r="F660" s="385" t="s">
        <v>473</v>
      </c>
      <c r="G660" s="385" t="s">
        <v>19</v>
      </c>
      <c r="H660" s="386">
        <v>0</v>
      </c>
      <c r="I660" s="386">
        <v>1080</v>
      </c>
      <c r="J660" s="386">
        <v>0</v>
      </c>
      <c r="K660" s="386">
        <v>537</v>
      </c>
      <c r="L660" s="387" t="s">
        <v>474</v>
      </c>
    </row>
    <row r="661" spans="1:12" hidden="1">
      <c r="A661" s="385" t="s">
        <v>345</v>
      </c>
      <c r="B661" s="385" t="s">
        <v>120</v>
      </c>
      <c r="C661" s="385" t="s">
        <v>540</v>
      </c>
      <c r="D661" s="385" t="s">
        <v>380</v>
      </c>
      <c r="E661" s="385" t="s">
        <v>19</v>
      </c>
      <c r="F661" s="385" t="s">
        <v>471</v>
      </c>
      <c r="G661" s="385" t="s">
        <v>19</v>
      </c>
      <c r="H661" s="386">
        <v>0</v>
      </c>
      <c r="I661" s="386">
        <v>1410</v>
      </c>
      <c r="J661" s="386">
        <v>0</v>
      </c>
      <c r="K661" s="386">
        <v>1397.99</v>
      </c>
      <c r="L661" s="387" t="s">
        <v>472</v>
      </c>
    </row>
    <row r="662" spans="1:12" hidden="1">
      <c r="A662" s="385" t="s">
        <v>345</v>
      </c>
      <c r="B662" s="385" t="s">
        <v>120</v>
      </c>
      <c r="C662" s="385" t="s">
        <v>548</v>
      </c>
      <c r="D662" s="385" t="s">
        <v>380</v>
      </c>
      <c r="E662" s="385" t="s">
        <v>19</v>
      </c>
      <c r="F662" s="385" t="s">
        <v>471</v>
      </c>
      <c r="G662" s="385" t="s">
        <v>19</v>
      </c>
      <c r="H662" s="386">
        <v>0</v>
      </c>
      <c r="I662" s="386">
        <v>19000</v>
      </c>
      <c r="J662" s="386">
        <v>0</v>
      </c>
      <c r="K662" s="386">
        <v>11036.35</v>
      </c>
      <c r="L662" s="387" t="s">
        <v>472</v>
      </c>
    </row>
    <row r="663" spans="1:12" hidden="1">
      <c r="A663" s="385" t="s">
        <v>345</v>
      </c>
      <c r="B663" s="385" t="s">
        <v>120</v>
      </c>
      <c r="C663" s="385" t="s">
        <v>548</v>
      </c>
      <c r="D663" s="385" t="s">
        <v>380</v>
      </c>
      <c r="E663" s="385" t="s">
        <v>19</v>
      </c>
      <c r="F663" s="385" t="s">
        <v>473</v>
      </c>
      <c r="G663" s="385" t="s">
        <v>19</v>
      </c>
      <c r="H663" s="386">
        <v>0</v>
      </c>
      <c r="I663" s="386">
        <v>23792</v>
      </c>
      <c r="J663" s="386">
        <v>0</v>
      </c>
      <c r="K663" s="386">
        <v>15519.87</v>
      </c>
      <c r="L663" s="387" t="s">
        <v>474</v>
      </c>
    </row>
    <row r="664" spans="1:12" hidden="1">
      <c r="A664" s="385" t="s">
        <v>345</v>
      </c>
      <c r="B664" s="385" t="s">
        <v>120</v>
      </c>
      <c r="C664" s="385" t="s">
        <v>592</v>
      </c>
      <c r="D664" s="385" t="s">
        <v>380</v>
      </c>
      <c r="E664" s="385" t="s">
        <v>19</v>
      </c>
      <c r="F664" s="385" t="s">
        <v>482</v>
      </c>
      <c r="G664" s="385" t="s">
        <v>19</v>
      </c>
      <c r="H664" s="386">
        <v>0</v>
      </c>
      <c r="I664" s="386">
        <v>21718.799999999999</v>
      </c>
      <c r="J664" s="386">
        <v>0</v>
      </c>
      <c r="K664" s="386">
        <v>21718.799999999999</v>
      </c>
      <c r="L664" s="387" t="s">
        <v>483</v>
      </c>
    </row>
    <row r="665" spans="1:12" hidden="1">
      <c r="A665" s="385" t="s">
        <v>345</v>
      </c>
      <c r="B665" s="385" t="s">
        <v>120</v>
      </c>
      <c r="C665" s="385" t="s">
        <v>593</v>
      </c>
      <c r="D665" s="385" t="s">
        <v>380</v>
      </c>
      <c r="E665" s="385" t="s">
        <v>19</v>
      </c>
      <c r="F665" s="385" t="s">
        <v>482</v>
      </c>
      <c r="G665" s="385" t="s">
        <v>19</v>
      </c>
      <c r="H665" s="386">
        <v>0</v>
      </c>
      <c r="I665" s="386">
        <v>142544</v>
      </c>
      <c r="J665" s="386">
        <v>0</v>
      </c>
      <c r="K665" s="386">
        <v>142544</v>
      </c>
      <c r="L665" s="387" t="s">
        <v>483</v>
      </c>
    </row>
    <row r="666" spans="1:12" ht="25.5" hidden="1">
      <c r="A666" s="385" t="s">
        <v>345</v>
      </c>
      <c r="B666" s="385" t="s">
        <v>120</v>
      </c>
      <c r="C666" s="385" t="s">
        <v>594</v>
      </c>
      <c r="D666" s="385" t="s">
        <v>380</v>
      </c>
      <c r="E666" s="385" t="s">
        <v>19</v>
      </c>
      <c r="F666" s="385" t="s">
        <v>488</v>
      </c>
      <c r="G666" s="385" t="s">
        <v>19</v>
      </c>
      <c r="H666" s="386">
        <v>0</v>
      </c>
      <c r="I666" s="386">
        <v>463532</v>
      </c>
      <c r="J666" s="386">
        <v>0</v>
      </c>
      <c r="K666" s="386">
        <v>0</v>
      </c>
      <c r="L666" s="387" t="s">
        <v>489</v>
      </c>
    </row>
    <row r="667" spans="1:12" hidden="1">
      <c r="A667" s="385" t="s">
        <v>345</v>
      </c>
      <c r="B667" s="385" t="s">
        <v>120</v>
      </c>
      <c r="C667" s="385" t="s">
        <v>594</v>
      </c>
      <c r="D667" s="385" t="s">
        <v>380</v>
      </c>
      <c r="E667" s="385" t="s">
        <v>19</v>
      </c>
      <c r="F667" s="385" t="s">
        <v>471</v>
      </c>
      <c r="G667" s="385" t="s">
        <v>19</v>
      </c>
      <c r="H667" s="386">
        <v>0</v>
      </c>
      <c r="I667" s="386">
        <v>5368163</v>
      </c>
      <c r="J667" s="386">
        <v>0</v>
      </c>
      <c r="K667" s="386">
        <v>3113490.79</v>
      </c>
      <c r="L667" s="387" t="s">
        <v>472</v>
      </c>
    </row>
    <row r="668" spans="1:12" hidden="1">
      <c r="A668" s="385" t="s">
        <v>345</v>
      </c>
      <c r="B668" s="385" t="s">
        <v>120</v>
      </c>
      <c r="C668" s="385" t="s">
        <v>594</v>
      </c>
      <c r="D668" s="385" t="s">
        <v>380</v>
      </c>
      <c r="E668" s="385" t="s">
        <v>19</v>
      </c>
      <c r="F668" s="385" t="s">
        <v>473</v>
      </c>
      <c r="G668" s="385" t="s">
        <v>19</v>
      </c>
      <c r="H668" s="386">
        <v>0</v>
      </c>
      <c r="I668" s="386">
        <v>5431000.7000000002</v>
      </c>
      <c r="J668" s="386">
        <v>0</v>
      </c>
      <c r="K668" s="386">
        <v>3461479.67</v>
      </c>
      <c r="L668" s="387" t="s">
        <v>474</v>
      </c>
    </row>
    <row r="669" spans="1:12" hidden="1">
      <c r="A669" s="385" t="s">
        <v>345</v>
      </c>
      <c r="B669" s="385" t="s">
        <v>120</v>
      </c>
      <c r="C669" s="385" t="s">
        <v>595</v>
      </c>
      <c r="D669" s="385" t="s">
        <v>380</v>
      </c>
      <c r="E669" s="385" t="s">
        <v>19</v>
      </c>
      <c r="F669" s="385" t="s">
        <v>473</v>
      </c>
      <c r="G669" s="385" t="s">
        <v>19</v>
      </c>
      <c r="H669" s="386">
        <v>0</v>
      </c>
      <c r="I669" s="386">
        <v>449930.3</v>
      </c>
      <c r="J669" s="386">
        <v>0</v>
      </c>
      <c r="K669" s="386">
        <v>449930.3</v>
      </c>
      <c r="L669" s="387" t="s">
        <v>474</v>
      </c>
    </row>
    <row r="670" spans="1:12" hidden="1">
      <c r="A670" s="385" t="s">
        <v>345</v>
      </c>
      <c r="B670" s="385" t="s">
        <v>120</v>
      </c>
      <c r="C670" s="385" t="s">
        <v>595</v>
      </c>
      <c r="D670" s="385" t="s">
        <v>380</v>
      </c>
      <c r="E670" s="385" t="s">
        <v>19</v>
      </c>
      <c r="F670" s="385" t="s">
        <v>471</v>
      </c>
      <c r="G670" s="385" t="s">
        <v>19</v>
      </c>
      <c r="H670" s="386">
        <v>0</v>
      </c>
      <c r="I670" s="386">
        <v>430501</v>
      </c>
      <c r="J670" s="386">
        <v>0</v>
      </c>
      <c r="K670" s="386">
        <v>413264.64000000001</v>
      </c>
      <c r="L670" s="387" t="s">
        <v>472</v>
      </c>
    </row>
    <row r="671" spans="1:12" hidden="1">
      <c r="A671" s="385" t="s">
        <v>345</v>
      </c>
      <c r="B671" s="385" t="s">
        <v>120</v>
      </c>
      <c r="C671" s="385" t="s">
        <v>615</v>
      </c>
      <c r="D671" s="385" t="s">
        <v>380</v>
      </c>
      <c r="E671" s="385" t="s">
        <v>19</v>
      </c>
      <c r="F671" s="385" t="s">
        <v>482</v>
      </c>
      <c r="G671" s="385" t="s">
        <v>19</v>
      </c>
      <c r="H671" s="386">
        <v>0</v>
      </c>
      <c r="I671" s="386">
        <v>51.51</v>
      </c>
      <c r="J671" s="386">
        <v>0</v>
      </c>
      <c r="K671" s="386">
        <v>51.51</v>
      </c>
      <c r="L671" s="387" t="s">
        <v>483</v>
      </c>
    </row>
    <row r="672" spans="1:12" hidden="1">
      <c r="A672" s="385" t="s">
        <v>345</v>
      </c>
      <c r="B672" s="385" t="s">
        <v>120</v>
      </c>
      <c r="C672" s="385" t="s">
        <v>596</v>
      </c>
      <c r="D672" s="385" t="s">
        <v>380</v>
      </c>
      <c r="E672" s="385" t="s">
        <v>19</v>
      </c>
      <c r="F672" s="385" t="s">
        <v>482</v>
      </c>
      <c r="G672" s="385" t="s">
        <v>19</v>
      </c>
      <c r="H672" s="386">
        <v>0</v>
      </c>
      <c r="I672" s="386">
        <v>51388</v>
      </c>
      <c r="J672" s="386">
        <v>0</v>
      </c>
      <c r="K672" s="386">
        <v>51388</v>
      </c>
      <c r="L672" s="387" t="s">
        <v>483</v>
      </c>
    </row>
    <row r="673" spans="1:12" hidden="1">
      <c r="A673" s="385" t="s">
        <v>345</v>
      </c>
      <c r="B673" s="385" t="s">
        <v>120</v>
      </c>
      <c r="C673" s="385" t="s">
        <v>597</v>
      </c>
      <c r="D673" s="385" t="s">
        <v>380</v>
      </c>
      <c r="E673" s="385" t="s">
        <v>19</v>
      </c>
      <c r="F673" s="385" t="s">
        <v>482</v>
      </c>
      <c r="G673" s="385" t="s">
        <v>19</v>
      </c>
      <c r="H673" s="386">
        <v>0</v>
      </c>
      <c r="I673" s="386">
        <v>3347.3</v>
      </c>
      <c r="J673" s="386">
        <v>0</v>
      </c>
      <c r="K673" s="386">
        <v>3347.3</v>
      </c>
      <c r="L673" s="387" t="s">
        <v>483</v>
      </c>
    </row>
    <row r="674" spans="1:12" ht="25.5" hidden="1">
      <c r="A674" s="385" t="s">
        <v>345</v>
      </c>
      <c r="B674" s="385" t="s">
        <v>120</v>
      </c>
      <c r="C674" s="385" t="s">
        <v>541</v>
      </c>
      <c r="D674" s="385" t="s">
        <v>380</v>
      </c>
      <c r="E674" s="385" t="s">
        <v>19</v>
      </c>
      <c r="F674" s="385" t="s">
        <v>389</v>
      </c>
      <c r="G674" s="385" t="s">
        <v>19</v>
      </c>
      <c r="H674" s="386">
        <v>0</v>
      </c>
      <c r="I674" s="386">
        <v>47000</v>
      </c>
      <c r="J674" s="386">
        <v>0</v>
      </c>
      <c r="K674" s="386">
        <v>45000</v>
      </c>
      <c r="L674" s="387" t="s">
        <v>390</v>
      </c>
    </row>
    <row r="675" spans="1:12" hidden="1">
      <c r="A675" s="385" t="s">
        <v>345</v>
      </c>
      <c r="B675" s="385" t="s">
        <v>120</v>
      </c>
      <c r="C675" s="385" t="s">
        <v>542</v>
      </c>
      <c r="D675" s="385" t="s">
        <v>380</v>
      </c>
      <c r="E675" s="385" t="s">
        <v>19</v>
      </c>
      <c r="F675" s="385" t="s">
        <v>471</v>
      </c>
      <c r="G675" s="385" t="s">
        <v>19</v>
      </c>
      <c r="H675" s="386">
        <v>0</v>
      </c>
      <c r="I675" s="386">
        <v>10153</v>
      </c>
      <c r="J675" s="386">
        <v>0</v>
      </c>
      <c r="K675" s="386">
        <v>0</v>
      </c>
      <c r="L675" s="387" t="s">
        <v>472</v>
      </c>
    </row>
    <row r="676" spans="1:12" hidden="1">
      <c r="A676" s="385" t="s">
        <v>345</v>
      </c>
      <c r="B676" s="385" t="s">
        <v>126</v>
      </c>
      <c r="C676" s="385" t="s">
        <v>500</v>
      </c>
      <c r="D676" s="385" t="s">
        <v>380</v>
      </c>
      <c r="E676" s="385" t="s">
        <v>19</v>
      </c>
      <c r="F676" s="385" t="s">
        <v>682</v>
      </c>
      <c r="G676" s="385" t="s">
        <v>19</v>
      </c>
      <c r="H676" s="386">
        <v>0</v>
      </c>
      <c r="I676" s="386">
        <v>3200</v>
      </c>
      <c r="J676" s="386">
        <v>0</v>
      </c>
      <c r="K676" s="386">
        <v>800</v>
      </c>
      <c r="L676" s="387" t="s">
        <v>683</v>
      </c>
    </row>
    <row r="677" spans="1:12" hidden="1">
      <c r="A677" s="385" t="s">
        <v>345</v>
      </c>
      <c r="B677" s="385" t="s">
        <v>126</v>
      </c>
      <c r="C677" s="385" t="s">
        <v>599</v>
      </c>
      <c r="D677" s="385" t="s">
        <v>380</v>
      </c>
      <c r="E677" s="385" t="s">
        <v>19</v>
      </c>
      <c r="F677" s="385" t="s">
        <v>482</v>
      </c>
      <c r="G677" s="385" t="s">
        <v>19</v>
      </c>
      <c r="H677" s="386">
        <v>0</v>
      </c>
      <c r="I677" s="386">
        <v>0</v>
      </c>
      <c r="J677" s="386">
        <v>0</v>
      </c>
      <c r="K677" s="386">
        <v>0</v>
      </c>
      <c r="L677" s="387" t="s">
        <v>483</v>
      </c>
    </row>
    <row r="678" spans="1:12" ht="25.5" hidden="1">
      <c r="A678" s="385" t="s">
        <v>345</v>
      </c>
      <c r="B678" s="385" t="s">
        <v>126</v>
      </c>
      <c r="C678" s="385" t="s">
        <v>599</v>
      </c>
      <c r="D678" s="385" t="s">
        <v>380</v>
      </c>
      <c r="E678" s="385" t="s">
        <v>19</v>
      </c>
      <c r="F678" s="385" t="s">
        <v>600</v>
      </c>
      <c r="G678" s="385" t="s">
        <v>19</v>
      </c>
      <c r="H678" s="386">
        <v>0</v>
      </c>
      <c r="I678" s="386">
        <v>800498</v>
      </c>
      <c r="J678" s="386">
        <v>0</v>
      </c>
      <c r="K678" s="386">
        <v>567149.51</v>
      </c>
      <c r="L678" s="387" t="s">
        <v>601</v>
      </c>
    </row>
    <row r="679" spans="1:12" hidden="1">
      <c r="A679" s="385" t="s">
        <v>345</v>
      </c>
      <c r="B679" s="385" t="s">
        <v>126</v>
      </c>
      <c r="C679" s="385" t="s">
        <v>521</v>
      </c>
      <c r="D679" s="385" t="s">
        <v>380</v>
      </c>
      <c r="E679" s="385" t="s">
        <v>19</v>
      </c>
      <c r="F679" s="385" t="s">
        <v>473</v>
      </c>
      <c r="G679" s="385" t="s">
        <v>19</v>
      </c>
      <c r="H679" s="386">
        <v>0</v>
      </c>
      <c r="I679" s="386">
        <v>500</v>
      </c>
      <c r="J679" s="386">
        <v>0</v>
      </c>
      <c r="K679" s="386">
        <v>0</v>
      </c>
      <c r="L679" s="387" t="s">
        <v>474</v>
      </c>
    </row>
    <row r="680" spans="1:12" hidden="1">
      <c r="A680" s="385" t="s">
        <v>345</v>
      </c>
      <c r="B680" s="385" t="s">
        <v>126</v>
      </c>
      <c r="C680" s="385" t="s">
        <v>521</v>
      </c>
      <c r="D680" s="385" t="s">
        <v>380</v>
      </c>
      <c r="E680" s="385" t="s">
        <v>19</v>
      </c>
      <c r="F680" s="385" t="s">
        <v>471</v>
      </c>
      <c r="G680" s="385" t="s">
        <v>19</v>
      </c>
      <c r="H680" s="386">
        <v>0</v>
      </c>
      <c r="I680" s="386">
        <v>1000</v>
      </c>
      <c r="J680" s="386">
        <v>0</v>
      </c>
      <c r="K680" s="386">
        <v>715.65</v>
      </c>
      <c r="L680" s="387" t="s">
        <v>472</v>
      </c>
    </row>
    <row r="681" spans="1:12" hidden="1">
      <c r="A681" s="385" t="s">
        <v>345</v>
      </c>
      <c r="B681" s="385" t="s">
        <v>126</v>
      </c>
      <c r="C681" s="385" t="s">
        <v>523</v>
      </c>
      <c r="D681" s="385" t="s">
        <v>380</v>
      </c>
      <c r="E681" s="385" t="s">
        <v>19</v>
      </c>
      <c r="F681" s="385" t="s">
        <v>473</v>
      </c>
      <c r="G681" s="385" t="s">
        <v>19</v>
      </c>
      <c r="H681" s="386">
        <v>0</v>
      </c>
      <c r="I681" s="386">
        <v>234796.96</v>
      </c>
      <c r="J681" s="386">
        <v>0</v>
      </c>
      <c r="K681" s="386">
        <v>189443.1</v>
      </c>
      <c r="L681" s="387" t="s">
        <v>474</v>
      </c>
    </row>
    <row r="682" spans="1:12" ht="25.5" hidden="1">
      <c r="A682" s="385" t="s">
        <v>345</v>
      </c>
      <c r="B682" s="385" t="s">
        <v>126</v>
      </c>
      <c r="C682" s="385" t="s">
        <v>523</v>
      </c>
      <c r="D682" s="385" t="s">
        <v>380</v>
      </c>
      <c r="E682" s="385" t="s">
        <v>19</v>
      </c>
      <c r="F682" s="385" t="s">
        <v>488</v>
      </c>
      <c r="G682" s="385" t="s">
        <v>19</v>
      </c>
      <c r="H682" s="386">
        <v>0</v>
      </c>
      <c r="I682" s="386">
        <v>10601</v>
      </c>
      <c r="J682" s="386">
        <v>0</v>
      </c>
      <c r="K682" s="386">
        <v>0</v>
      </c>
      <c r="L682" s="387" t="s">
        <v>489</v>
      </c>
    </row>
    <row r="683" spans="1:12" hidden="1">
      <c r="A683" s="385" t="s">
        <v>345</v>
      </c>
      <c r="B683" s="385" t="s">
        <v>126</v>
      </c>
      <c r="C683" s="385" t="s">
        <v>523</v>
      </c>
      <c r="D683" s="385" t="s">
        <v>380</v>
      </c>
      <c r="E683" s="385" t="s">
        <v>19</v>
      </c>
      <c r="F683" s="385" t="s">
        <v>471</v>
      </c>
      <c r="G683" s="385" t="s">
        <v>19</v>
      </c>
      <c r="H683" s="386">
        <v>0</v>
      </c>
      <c r="I683" s="386">
        <v>314624</v>
      </c>
      <c r="J683" s="386">
        <v>0</v>
      </c>
      <c r="K683" s="386">
        <v>204707.04</v>
      </c>
      <c r="L683" s="387" t="s">
        <v>472</v>
      </c>
    </row>
    <row r="684" spans="1:12" hidden="1">
      <c r="A684" s="385" t="s">
        <v>345</v>
      </c>
      <c r="B684" s="385" t="s">
        <v>126</v>
      </c>
      <c r="C684" s="385" t="s">
        <v>524</v>
      </c>
      <c r="D684" s="385" t="s">
        <v>380</v>
      </c>
      <c r="E684" s="385" t="s">
        <v>19</v>
      </c>
      <c r="F684" s="385" t="s">
        <v>473</v>
      </c>
      <c r="G684" s="385" t="s">
        <v>19</v>
      </c>
      <c r="H684" s="386">
        <v>0</v>
      </c>
      <c r="I684" s="386">
        <v>18341.04</v>
      </c>
      <c r="J684" s="386">
        <v>0</v>
      </c>
      <c r="K684" s="386">
        <v>18341.04</v>
      </c>
      <c r="L684" s="387" t="s">
        <v>474</v>
      </c>
    </row>
    <row r="685" spans="1:12" hidden="1">
      <c r="A685" s="385" t="s">
        <v>345</v>
      </c>
      <c r="B685" s="385" t="s">
        <v>126</v>
      </c>
      <c r="C685" s="385" t="s">
        <v>524</v>
      </c>
      <c r="D685" s="385" t="s">
        <v>380</v>
      </c>
      <c r="E685" s="385" t="s">
        <v>19</v>
      </c>
      <c r="F685" s="385" t="s">
        <v>471</v>
      </c>
      <c r="G685" s="385" t="s">
        <v>19</v>
      </c>
      <c r="H685" s="386">
        <v>0</v>
      </c>
      <c r="I685" s="386">
        <v>23646</v>
      </c>
      <c r="J685" s="386">
        <v>0</v>
      </c>
      <c r="K685" s="386">
        <v>23206.39</v>
      </c>
      <c r="L685" s="387" t="s">
        <v>472</v>
      </c>
    </row>
    <row r="686" spans="1:12" ht="25.5" hidden="1">
      <c r="A686" s="385" t="s">
        <v>345</v>
      </c>
      <c r="B686" s="385" t="s">
        <v>126</v>
      </c>
      <c r="C686" s="385" t="s">
        <v>525</v>
      </c>
      <c r="D686" s="385" t="s">
        <v>380</v>
      </c>
      <c r="E686" s="385" t="s">
        <v>19</v>
      </c>
      <c r="F686" s="385" t="s">
        <v>488</v>
      </c>
      <c r="G686" s="385" t="s">
        <v>19</v>
      </c>
      <c r="H686" s="386">
        <v>0</v>
      </c>
      <c r="I686" s="386">
        <v>10814</v>
      </c>
      <c r="J686" s="386">
        <v>0</v>
      </c>
      <c r="K686" s="386">
        <v>0</v>
      </c>
      <c r="L686" s="387" t="s">
        <v>489</v>
      </c>
    </row>
    <row r="687" spans="1:12" hidden="1">
      <c r="A687" s="385" t="s">
        <v>345</v>
      </c>
      <c r="B687" s="385" t="s">
        <v>126</v>
      </c>
      <c r="C687" s="385" t="s">
        <v>525</v>
      </c>
      <c r="D687" s="385" t="s">
        <v>380</v>
      </c>
      <c r="E687" s="385" t="s">
        <v>19</v>
      </c>
      <c r="F687" s="385" t="s">
        <v>471</v>
      </c>
      <c r="G687" s="385" t="s">
        <v>19</v>
      </c>
      <c r="H687" s="386">
        <v>0</v>
      </c>
      <c r="I687" s="386">
        <v>174150</v>
      </c>
      <c r="J687" s="386">
        <v>0</v>
      </c>
      <c r="K687" s="386">
        <v>101084.01</v>
      </c>
      <c r="L687" s="387" t="s">
        <v>472</v>
      </c>
    </row>
    <row r="688" spans="1:12" hidden="1">
      <c r="A688" s="385" t="s">
        <v>345</v>
      </c>
      <c r="B688" s="385" t="s">
        <v>126</v>
      </c>
      <c r="C688" s="385" t="s">
        <v>525</v>
      </c>
      <c r="D688" s="385" t="s">
        <v>380</v>
      </c>
      <c r="E688" s="385" t="s">
        <v>19</v>
      </c>
      <c r="F688" s="385" t="s">
        <v>473</v>
      </c>
      <c r="G688" s="385" t="s">
        <v>19</v>
      </c>
      <c r="H688" s="386">
        <v>0</v>
      </c>
      <c r="I688" s="386">
        <v>424185</v>
      </c>
      <c r="J688" s="386">
        <v>0</v>
      </c>
      <c r="K688" s="386">
        <v>267460</v>
      </c>
      <c r="L688" s="387" t="s">
        <v>474</v>
      </c>
    </row>
    <row r="689" spans="1:12" ht="25.5" hidden="1">
      <c r="A689" s="385" t="s">
        <v>345</v>
      </c>
      <c r="B689" s="385" t="s">
        <v>126</v>
      </c>
      <c r="C689" s="385" t="s">
        <v>526</v>
      </c>
      <c r="D689" s="385" t="s">
        <v>380</v>
      </c>
      <c r="E689" s="385" t="s">
        <v>19</v>
      </c>
      <c r="F689" s="385" t="s">
        <v>488</v>
      </c>
      <c r="G689" s="385" t="s">
        <v>19</v>
      </c>
      <c r="H689" s="386">
        <v>0</v>
      </c>
      <c r="I689" s="386">
        <v>1541</v>
      </c>
      <c r="J689" s="386">
        <v>0</v>
      </c>
      <c r="K689" s="386">
        <v>0</v>
      </c>
      <c r="L689" s="387" t="s">
        <v>489</v>
      </c>
    </row>
    <row r="690" spans="1:12" hidden="1">
      <c r="A690" s="385" t="s">
        <v>345</v>
      </c>
      <c r="B690" s="385" t="s">
        <v>126</v>
      </c>
      <c r="C690" s="385" t="s">
        <v>526</v>
      </c>
      <c r="D690" s="385" t="s">
        <v>380</v>
      </c>
      <c r="E690" s="385" t="s">
        <v>19</v>
      </c>
      <c r="F690" s="385" t="s">
        <v>473</v>
      </c>
      <c r="G690" s="385" t="s">
        <v>19</v>
      </c>
      <c r="H690" s="386">
        <v>0</v>
      </c>
      <c r="I690" s="386">
        <v>60776</v>
      </c>
      <c r="J690" s="386">
        <v>0</v>
      </c>
      <c r="K690" s="386">
        <v>31225.1</v>
      </c>
      <c r="L690" s="387" t="s">
        <v>474</v>
      </c>
    </row>
    <row r="691" spans="1:12" hidden="1">
      <c r="A691" s="385" t="s">
        <v>345</v>
      </c>
      <c r="B691" s="385" t="s">
        <v>126</v>
      </c>
      <c r="C691" s="385" t="s">
        <v>526</v>
      </c>
      <c r="D691" s="385" t="s">
        <v>380</v>
      </c>
      <c r="E691" s="385" t="s">
        <v>19</v>
      </c>
      <c r="F691" s="385" t="s">
        <v>471</v>
      </c>
      <c r="G691" s="385" t="s">
        <v>19</v>
      </c>
      <c r="H691" s="386">
        <v>0</v>
      </c>
      <c r="I691" s="386">
        <v>17500</v>
      </c>
      <c r="J691" s="386">
        <v>0</v>
      </c>
      <c r="K691" s="386">
        <v>9539.5300000000007</v>
      </c>
      <c r="L691" s="387" t="s">
        <v>472</v>
      </c>
    </row>
    <row r="692" spans="1:12" hidden="1">
      <c r="A692" s="385" t="s">
        <v>345</v>
      </c>
      <c r="B692" s="385" t="s">
        <v>126</v>
      </c>
      <c r="C692" s="385" t="s">
        <v>527</v>
      </c>
      <c r="D692" s="385" t="s">
        <v>380</v>
      </c>
      <c r="E692" s="385" t="s">
        <v>19</v>
      </c>
      <c r="F692" s="385" t="s">
        <v>473</v>
      </c>
      <c r="G692" s="385" t="s">
        <v>19</v>
      </c>
      <c r="H692" s="386">
        <v>0</v>
      </c>
      <c r="I692" s="386">
        <v>10950</v>
      </c>
      <c r="J692" s="386">
        <v>0</v>
      </c>
      <c r="K692" s="386">
        <v>6336</v>
      </c>
      <c r="L692" s="387" t="s">
        <v>474</v>
      </c>
    </row>
    <row r="693" spans="1:12" hidden="1">
      <c r="A693" s="385" t="s">
        <v>345</v>
      </c>
      <c r="B693" s="385" t="s">
        <v>126</v>
      </c>
      <c r="C693" s="385" t="s">
        <v>528</v>
      </c>
      <c r="D693" s="385" t="s">
        <v>380</v>
      </c>
      <c r="E693" s="385" t="s">
        <v>19</v>
      </c>
      <c r="F693" s="385" t="s">
        <v>473</v>
      </c>
      <c r="G693" s="385" t="s">
        <v>19</v>
      </c>
      <c r="H693" s="386">
        <v>0</v>
      </c>
      <c r="I693" s="386">
        <v>20726</v>
      </c>
      <c r="J693" s="386">
        <v>0</v>
      </c>
      <c r="K693" s="386">
        <v>11569.21</v>
      </c>
      <c r="L693" s="387" t="s">
        <v>474</v>
      </c>
    </row>
    <row r="694" spans="1:12" hidden="1">
      <c r="A694" s="385" t="s">
        <v>345</v>
      </c>
      <c r="B694" s="385" t="s">
        <v>126</v>
      </c>
      <c r="C694" s="385" t="s">
        <v>528</v>
      </c>
      <c r="D694" s="385" t="s">
        <v>380</v>
      </c>
      <c r="E694" s="385" t="s">
        <v>19</v>
      </c>
      <c r="F694" s="385" t="s">
        <v>471</v>
      </c>
      <c r="G694" s="385" t="s">
        <v>19</v>
      </c>
      <c r="H694" s="386">
        <v>0</v>
      </c>
      <c r="I694" s="386">
        <v>37750</v>
      </c>
      <c r="J694" s="386">
        <v>0</v>
      </c>
      <c r="K694" s="386">
        <v>27483.82</v>
      </c>
      <c r="L694" s="387" t="s">
        <v>472</v>
      </c>
    </row>
    <row r="695" spans="1:12" hidden="1">
      <c r="A695" s="385" t="s">
        <v>345</v>
      </c>
      <c r="B695" s="385" t="s">
        <v>126</v>
      </c>
      <c r="C695" s="385" t="s">
        <v>598</v>
      </c>
      <c r="D695" s="385" t="s">
        <v>380</v>
      </c>
      <c r="E695" s="385" t="s">
        <v>19</v>
      </c>
      <c r="F695" s="385" t="s">
        <v>473</v>
      </c>
      <c r="G695" s="385" t="s">
        <v>19</v>
      </c>
      <c r="H695" s="386">
        <v>0</v>
      </c>
      <c r="I695" s="386">
        <v>14250</v>
      </c>
      <c r="J695" s="386">
        <v>0</v>
      </c>
      <c r="K695" s="386">
        <v>14091.82</v>
      </c>
      <c r="L695" s="387" t="s">
        <v>474</v>
      </c>
    </row>
    <row r="696" spans="1:12" hidden="1">
      <c r="A696" s="385" t="s">
        <v>345</v>
      </c>
      <c r="B696" s="385" t="s">
        <v>126</v>
      </c>
      <c r="C696" s="385" t="s">
        <v>598</v>
      </c>
      <c r="D696" s="385" t="s">
        <v>380</v>
      </c>
      <c r="E696" s="385" t="s">
        <v>19</v>
      </c>
      <c r="F696" s="385" t="s">
        <v>471</v>
      </c>
      <c r="G696" s="385" t="s">
        <v>19</v>
      </c>
      <c r="H696" s="386">
        <v>0</v>
      </c>
      <c r="I696" s="386">
        <v>2250</v>
      </c>
      <c r="J696" s="386">
        <v>0</v>
      </c>
      <c r="K696" s="386">
        <v>1545.34</v>
      </c>
      <c r="L696" s="387" t="s">
        <v>472</v>
      </c>
    </row>
    <row r="697" spans="1:12" hidden="1">
      <c r="A697" s="385" t="s">
        <v>345</v>
      </c>
      <c r="B697" s="385" t="s">
        <v>126</v>
      </c>
      <c r="C697" s="385" t="s">
        <v>530</v>
      </c>
      <c r="D697" s="385" t="s">
        <v>380</v>
      </c>
      <c r="E697" s="385" t="s">
        <v>19</v>
      </c>
      <c r="F697" s="385" t="s">
        <v>473</v>
      </c>
      <c r="G697" s="385" t="s">
        <v>19</v>
      </c>
      <c r="H697" s="386">
        <v>0</v>
      </c>
      <c r="I697" s="386">
        <v>110000</v>
      </c>
      <c r="J697" s="386">
        <v>0</v>
      </c>
      <c r="K697" s="386">
        <v>90420.69</v>
      </c>
      <c r="L697" s="387" t="s">
        <v>474</v>
      </c>
    </row>
    <row r="698" spans="1:12" hidden="1">
      <c r="A698" s="385" t="s">
        <v>345</v>
      </c>
      <c r="B698" s="385" t="s">
        <v>126</v>
      </c>
      <c r="C698" s="385" t="s">
        <v>530</v>
      </c>
      <c r="D698" s="385" t="s">
        <v>380</v>
      </c>
      <c r="E698" s="385" t="s">
        <v>19</v>
      </c>
      <c r="F698" s="385" t="s">
        <v>471</v>
      </c>
      <c r="G698" s="385" t="s">
        <v>19</v>
      </c>
      <c r="H698" s="386">
        <v>0</v>
      </c>
      <c r="I698" s="386">
        <v>83900</v>
      </c>
      <c r="J698" s="386">
        <v>0</v>
      </c>
      <c r="K698" s="386">
        <v>56613.01</v>
      </c>
      <c r="L698" s="387" t="s">
        <v>472</v>
      </c>
    </row>
    <row r="699" spans="1:12" hidden="1">
      <c r="A699" s="385" t="s">
        <v>345</v>
      </c>
      <c r="B699" s="385" t="s">
        <v>126</v>
      </c>
      <c r="C699" s="385" t="s">
        <v>416</v>
      </c>
      <c r="D699" s="385" t="s">
        <v>380</v>
      </c>
      <c r="E699" s="385" t="s">
        <v>19</v>
      </c>
      <c r="F699" s="385" t="s">
        <v>471</v>
      </c>
      <c r="G699" s="385" t="s">
        <v>19</v>
      </c>
      <c r="H699" s="386">
        <v>0</v>
      </c>
      <c r="I699" s="386">
        <v>44473</v>
      </c>
      <c r="J699" s="386">
        <v>0</v>
      </c>
      <c r="K699" s="386">
        <v>17559.03</v>
      </c>
      <c r="L699" s="387" t="s">
        <v>472</v>
      </c>
    </row>
    <row r="700" spans="1:12" hidden="1">
      <c r="A700" s="385" t="s">
        <v>345</v>
      </c>
      <c r="B700" s="385" t="s">
        <v>126</v>
      </c>
      <c r="C700" s="385" t="s">
        <v>531</v>
      </c>
      <c r="D700" s="385" t="s">
        <v>380</v>
      </c>
      <c r="E700" s="385" t="s">
        <v>19</v>
      </c>
      <c r="F700" s="385" t="s">
        <v>473</v>
      </c>
      <c r="G700" s="385" t="s">
        <v>19</v>
      </c>
      <c r="H700" s="386">
        <v>0</v>
      </c>
      <c r="I700" s="386">
        <v>3058</v>
      </c>
      <c r="J700" s="386">
        <v>0</v>
      </c>
      <c r="K700" s="386">
        <v>1583.3</v>
      </c>
      <c r="L700" s="387" t="s">
        <v>474</v>
      </c>
    </row>
    <row r="701" spans="1:12" hidden="1">
      <c r="A701" s="385" t="s">
        <v>345</v>
      </c>
      <c r="B701" s="385" t="s">
        <v>126</v>
      </c>
      <c r="C701" s="385" t="s">
        <v>531</v>
      </c>
      <c r="D701" s="385" t="s">
        <v>380</v>
      </c>
      <c r="E701" s="385" t="s">
        <v>19</v>
      </c>
      <c r="F701" s="385" t="s">
        <v>471</v>
      </c>
      <c r="G701" s="385" t="s">
        <v>19</v>
      </c>
      <c r="H701" s="386">
        <v>0</v>
      </c>
      <c r="I701" s="386">
        <v>2300</v>
      </c>
      <c r="J701" s="386">
        <v>0</v>
      </c>
      <c r="K701" s="386">
        <v>1900.48</v>
      </c>
      <c r="L701" s="387" t="s">
        <v>472</v>
      </c>
    </row>
    <row r="702" spans="1:12" hidden="1">
      <c r="A702" s="385" t="s">
        <v>345</v>
      </c>
      <c r="B702" s="385" t="s">
        <v>126</v>
      </c>
      <c r="C702" s="385" t="s">
        <v>510</v>
      </c>
      <c r="D702" s="385" t="s">
        <v>380</v>
      </c>
      <c r="E702" s="385" t="s">
        <v>19</v>
      </c>
      <c r="F702" s="385" t="s">
        <v>473</v>
      </c>
      <c r="G702" s="385" t="s">
        <v>19</v>
      </c>
      <c r="H702" s="386">
        <v>0</v>
      </c>
      <c r="I702" s="386">
        <v>70370</v>
      </c>
      <c r="J702" s="386">
        <v>0</v>
      </c>
      <c r="K702" s="386">
        <v>70173.649999999994</v>
      </c>
      <c r="L702" s="387" t="s">
        <v>474</v>
      </c>
    </row>
    <row r="703" spans="1:12" hidden="1">
      <c r="A703" s="385" t="s">
        <v>345</v>
      </c>
      <c r="B703" s="385" t="s">
        <v>126</v>
      </c>
      <c r="C703" s="385" t="s">
        <v>510</v>
      </c>
      <c r="D703" s="385" t="s">
        <v>380</v>
      </c>
      <c r="E703" s="385" t="s">
        <v>19</v>
      </c>
      <c r="F703" s="385" t="s">
        <v>471</v>
      </c>
      <c r="G703" s="385" t="s">
        <v>19</v>
      </c>
      <c r="H703" s="386">
        <v>0</v>
      </c>
      <c r="I703" s="386">
        <v>187145</v>
      </c>
      <c r="J703" s="386">
        <v>0</v>
      </c>
      <c r="K703" s="386">
        <v>185404.64</v>
      </c>
      <c r="L703" s="387" t="s">
        <v>472</v>
      </c>
    </row>
    <row r="704" spans="1:12" hidden="1">
      <c r="A704" s="385" t="s">
        <v>345</v>
      </c>
      <c r="B704" s="385" t="s">
        <v>126</v>
      </c>
      <c r="C704" s="385" t="s">
        <v>590</v>
      </c>
      <c r="D704" s="385" t="s">
        <v>380</v>
      </c>
      <c r="E704" s="385" t="s">
        <v>19</v>
      </c>
      <c r="F704" s="385" t="s">
        <v>482</v>
      </c>
      <c r="G704" s="385" t="s">
        <v>19</v>
      </c>
      <c r="H704" s="386">
        <v>0</v>
      </c>
      <c r="I704" s="386">
        <v>2875</v>
      </c>
      <c r="J704" s="386">
        <v>0</v>
      </c>
      <c r="K704" s="386">
        <v>2875</v>
      </c>
      <c r="L704" s="387" t="s">
        <v>483</v>
      </c>
    </row>
    <row r="705" spans="1:12" hidden="1">
      <c r="A705" s="385" t="s">
        <v>345</v>
      </c>
      <c r="B705" s="385" t="s">
        <v>126</v>
      </c>
      <c r="C705" s="385" t="s">
        <v>532</v>
      </c>
      <c r="D705" s="385" t="s">
        <v>380</v>
      </c>
      <c r="E705" s="385" t="s">
        <v>19</v>
      </c>
      <c r="F705" s="385" t="s">
        <v>473</v>
      </c>
      <c r="G705" s="385" t="s">
        <v>19</v>
      </c>
      <c r="H705" s="386">
        <v>0</v>
      </c>
      <c r="I705" s="386">
        <v>1549</v>
      </c>
      <c r="J705" s="386">
        <v>0</v>
      </c>
      <c r="K705" s="386">
        <v>921.03</v>
      </c>
      <c r="L705" s="387" t="s">
        <v>474</v>
      </c>
    </row>
    <row r="706" spans="1:12" hidden="1">
      <c r="A706" s="385" t="s">
        <v>345</v>
      </c>
      <c r="B706" s="385" t="s">
        <v>126</v>
      </c>
      <c r="C706" s="385" t="s">
        <v>532</v>
      </c>
      <c r="D706" s="385" t="s">
        <v>380</v>
      </c>
      <c r="E706" s="385" t="s">
        <v>19</v>
      </c>
      <c r="F706" s="385" t="s">
        <v>471</v>
      </c>
      <c r="G706" s="385" t="s">
        <v>19</v>
      </c>
      <c r="H706" s="386">
        <v>0</v>
      </c>
      <c r="I706" s="386">
        <v>3650</v>
      </c>
      <c r="J706" s="386">
        <v>0</v>
      </c>
      <c r="K706" s="386">
        <v>728.31</v>
      </c>
      <c r="L706" s="387" t="s">
        <v>472</v>
      </c>
    </row>
    <row r="707" spans="1:12" hidden="1">
      <c r="A707" s="385" t="s">
        <v>345</v>
      </c>
      <c r="B707" s="385" t="s">
        <v>126</v>
      </c>
      <c r="C707" s="385" t="s">
        <v>591</v>
      </c>
      <c r="D707" s="385" t="s">
        <v>380</v>
      </c>
      <c r="E707" s="385" t="s">
        <v>19</v>
      </c>
      <c r="F707" s="385" t="s">
        <v>482</v>
      </c>
      <c r="G707" s="385" t="s">
        <v>19</v>
      </c>
      <c r="H707" s="386">
        <v>0</v>
      </c>
      <c r="I707" s="386">
        <v>2338</v>
      </c>
      <c r="J707" s="386">
        <v>0</v>
      </c>
      <c r="K707" s="386">
        <v>2338</v>
      </c>
      <c r="L707" s="387" t="s">
        <v>483</v>
      </c>
    </row>
    <row r="708" spans="1:12" hidden="1">
      <c r="A708" s="385" t="s">
        <v>345</v>
      </c>
      <c r="B708" s="385" t="s">
        <v>126</v>
      </c>
      <c r="C708" s="385" t="s">
        <v>533</v>
      </c>
      <c r="D708" s="385" t="s">
        <v>380</v>
      </c>
      <c r="E708" s="385" t="s">
        <v>19</v>
      </c>
      <c r="F708" s="385" t="s">
        <v>473</v>
      </c>
      <c r="G708" s="385" t="s">
        <v>19</v>
      </c>
      <c r="H708" s="386">
        <v>0</v>
      </c>
      <c r="I708" s="386">
        <v>1015</v>
      </c>
      <c r="J708" s="386">
        <v>0</v>
      </c>
      <c r="K708" s="386">
        <v>254.3</v>
      </c>
      <c r="L708" s="387" t="s">
        <v>474</v>
      </c>
    </row>
    <row r="709" spans="1:12" hidden="1">
      <c r="A709" s="385" t="s">
        <v>345</v>
      </c>
      <c r="B709" s="385" t="s">
        <v>126</v>
      </c>
      <c r="C709" s="385" t="s">
        <v>533</v>
      </c>
      <c r="D709" s="385" t="s">
        <v>380</v>
      </c>
      <c r="E709" s="385" t="s">
        <v>19</v>
      </c>
      <c r="F709" s="385" t="s">
        <v>471</v>
      </c>
      <c r="G709" s="385" t="s">
        <v>19</v>
      </c>
      <c r="H709" s="386">
        <v>0</v>
      </c>
      <c r="I709" s="386">
        <v>100</v>
      </c>
      <c r="J709" s="386">
        <v>0</v>
      </c>
      <c r="K709" s="386">
        <v>45</v>
      </c>
      <c r="L709" s="387" t="s">
        <v>472</v>
      </c>
    </row>
    <row r="710" spans="1:12" hidden="1">
      <c r="A710" s="385" t="s">
        <v>345</v>
      </c>
      <c r="B710" s="385" t="s">
        <v>126</v>
      </c>
      <c r="C710" s="385" t="s">
        <v>534</v>
      </c>
      <c r="D710" s="385" t="s">
        <v>380</v>
      </c>
      <c r="E710" s="385" t="s">
        <v>19</v>
      </c>
      <c r="F710" s="385" t="s">
        <v>473</v>
      </c>
      <c r="G710" s="385" t="s">
        <v>19</v>
      </c>
      <c r="H710" s="386">
        <v>0</v>
      </c>
      <c r="I710" s="386">
        <v>1190</v>
      </c>
      <c r="J710" s="386">
        <v>0</v>
      </c>
      <c r="K710" s="386">
        <v>863.24</v>
      </c>
      <c r="L710" s="387" t="s">
        <v>474</v>
      </c>
    </row>
    <row r="711" spans="1:12" hidden="1">
      <c r="A711" s="385" t="s">
        <v>345</v>
      </c>
      <c r="B711" s="385" t="s">
        <v>126</v>
      </c>
      <c r="C711" s="385" t="s">
        <v>534</v>
      </c>
      <c r="D711" s="385" t="s">
        <v>380</v>
      </c>
      <c r="E711" s="385" t="s">
        <v>19</v>
      </c>
      <c r="F711" s="385" t="s">
        <v>471</v>
      </c>
      <c r="G711" s="385" t="s">
        <v>19</v>
      </c>
      <c r="H711" s="386">
        <v>0</v>
      </c>
      <c r="I711" s="386">
        <v>2</v>
      </c>
      <c r="J711" s="386">
        <v>0</v>
      </c>
      <c r="K711" s="386">
        <v>1.38</v>
      </c>
      <c r="L711" s="387" t="s">
        <v>472</v>
      </c>
    </row>
    <row r="712" spans="1:12" hidden="1">
      <c r="A712" s="385" t="s">
        <v>345</v>
      </c>
      <c r="B712" s="385" t="s">
        <v>126</v>
      </c>
      <c r="C712" s="385" t="s">
        <v>535</v>
      </c>
      <c r="D712" s="385" t="s">
        <v>380</v>
      </c>
      <c r="E712" s="385" t="s">
        <v>19</v>
      </c>
      <c r="F712" s="385" t="s">
        <v>473</v>
      </c>
      <c r="G712" s="385" t="s">
        <v>19</v>
      </c>
      <c r="H712" s="386">
        <v>0</v>
      </c>
      <c r="I712" s="386">
        <v>144438</v>
      </c>
      <c r="J712" s="386">
        <v>0</v>
      </c>
      <c r="K712" s="386">
        <v>107699</v>
      </c>
      <c r="L712" s="387" t="s">
        <v>474</v>
      </c>
    </row>
    <row r="713" spans="1:12" hidden="1">
      <c r="A713" s="385" t="s">
        <v>345</v>
      </c>
      <c r="B713" s="385" t="s">
        <v>126</v>
      </c>
      <c r="C713" s="385" t="s">
        <v>535</v>
      </c>
      <c r="D713" s="385" t="s">
        <v>380</v>
      </c>
      <c r="E713" s="385" t="s">
        <v>19</v>
      </c>
      <c r="F713" s="385" t="s">
        <v>471</v>
      </c>
      <c r="G713" s="385" t="s">
        <v>19</v>
      </c>
      <c r="H713" s="386">
        <v>0</v>
      </c>
      <c r="I713" s="386">
        <v>73913</v>
      </c>
      <c r="J713" s="386">
        <v>0</v>
      </c>
      <c r="K713" s="386">
        <v>55434.75</v>
      </c>
      <c r="L713" s="387" t="s">
        <v>472</v>
      </c>
    </row>
    <row r="714" spans="1:12" hidden="1">
      <c r="A714" s="385" t="s">
        <v>345</v>
      </c>
      <c r="B714" s="385" t="s">
        <v>126</v>
      </c>
      <c r="C714" s="385" t="s">
        <v>536</v>
      </c>
      <c r="D714" s="385" t="s">
        <v>380</v>
      </c>
      <c r="E714" s="385" t="s">
        <v>19</v>
      </c>
      <c r="F714" s="385" t="s">
        <v>473</v>
      </c>
      <c r="G714" s="385" t="s">
        <v>19</v>
      </c>
      <c r="H714" s="386">
        <v>0</v>
      </c>
      <c r="I714" s="386">
        <v>100</v>
      </c>
      <c r="J714" s="386">
        <v>0</v>
      </c>
      <c r="K714" s="386">
        <v>100</v>
      </c>
      <c r="L714" s="387" t="s">
        <v>474</v>
      </c>
    </row>
    <row r="715" spans="1:12" hidden="1">
      <c r="A715" s="385" t="s">
        <v>345</v>
      </c>
      <c r="B715" s="385" t="s">
        <v>126</v>
      </c>
      <c r="C715" s="385" t="s">
        <v>538</v>
      </c>
      <c r="D715" s="385" t="s">
        <v>380</v>
      </c>
      <c r="E715" s="385" t="s">
        <v>19</v>
      </c>
      <c r="F715" s="385" t="s">
        <v>386</v>
      </c>
      <c r="G715" s="385" t="s">
        <v>19</v>
      </c>
      <c r="H715" s="386">
        <v>0</v>
      </c>
      <c r="I715" s="386">
        <v>2500</v>
      </c>
      <c r="J715" s="386">
        <v>0</v>
      </c>
      <c r="K715" s="386">
        <v>0</v>
      </c>
      <c r="L715" s="387" t="s">
        <v>387</v>
      </c>
    </row>
    <row r="716" spans="1:12" hidden="1">
      <c r="A716" s="385" t="s">
        <v>345</v>
      </c>
      <c r="B716" s="385" t="s">
        <v>126</v>
      </c>
      <c r="C716" s="385" t="s">
        <v>539</v>
      </c>
      <c r="D716" s="385" t="s">
        <v>380</v>
      </c>
      <c r="E716" s="385" t="s">
        <v>19</v>
      </c>
      <c r="F716" s="385" t="s">
        <v>471</v>
      </c>
      <c r="G716" s="385" t="s">
        <v>19</v>
      </c>
      <c r="H716" s="386">
        <v>0</v>
      </c>
      <c r="I716" s="386">
        <v>84</v>
      </c>
      <c r="J716" s="386">
        <v>0</v>
      </c>
      <c r="K716" s="386">
        <v>4.3</v>
      </c>
      <c r="L716" s="387" t="s">
        <v>472</v>
      </c>
    </row>
    <row r="717" spans="1:12" hidden="1">
      <c r="A717" s="385" t="s">
        <v>345</v>
      </c>
      <c r="B717" s="385" t="s">
        <v>126</v>
      </c>
      <c r="C717" s="385" t="s">
        <v>540</v>
      </c>
      <c r="D717" s="385" t="s">
        <v>380</v>
      </c>
      <c r="E717" s="385" t="s">
        <v>19</v>
      </c>
      <c r="F717" s="385" t="s">
        <v>473</v>
      </c>
      <c r="G717" s="385" t="s">
        <v>19</v>
      </c>
      <c r="H717" s="386">
        <v>0</v>
      </c>
      <c r="I717" s="386">
        <v>420</v>
      </c>
      <c r="J717" s="386">
        <v>0</v>
      </c>
      <c r="K717" s="386">
        <v>235</v>
      </c>
      <c r="L717" s="387" t="s">
        <v>474</v>
      </c>
    </row>
    <row r="718" spans="1:12" hidden="1">
      <c r="A718" s="385" t="s">
        <v>345</v>
      </c>
      <c r="B718" s="385" t="s">
        <v>126</v>
      </c>
      <c r="C718" s="385" t="s">
        <v>540</v>
      </c>
      <c r="D718" s="385" t="s">
        <v>380</v>
      </c>
      <c r="E718" s="385" t="s">
        <v>19</v>
      </c>
      <c r="F718" s="385" t="s">
        <v>471</v>
      </c>
      <c r="G718" s="385" t="s">
        <v>19</v>
      </c>
      <c r="H718" s="386">
        <v>0</v>
      </c>
      <c r="I718" s="386">
        <v>850</v>
      </c>
      <c r="J718" s="386">
        <v>0</v>
      </c>
      <c r="K718" s="386">
        <v>807.85</v>
      </c>
      <c r="L718" s="387" t="s">
        <v>472</v>
      </c>
    </row>
    <row r="719" spans="1:12" hidden="1">
      <c r="A719" s="385" t="s">
        <v>345</v>
      </c>
      <c r="B719" s="385" t="s">
        <v>126</v>
      </c>
      <c r="C719" s="385" t="s">
        <v>548</v>
      </c>
      <c r="D719" s="385" t="s">
        <v>380</v>
      </c>
      <c r="E719" s="385" t="s">
        <v>19</v>
      </c>
      <c r="F719" s="385" t="s">
        <v>473</v>
      </c>
      <c r="G719" s="385" t="s">
        <v>19</v>
      </c>
      <c r="H719" s="386">
        <v>0</v>
      </c>
      <c r="I719" s="386">
        <v>5836</v>
      </c>
      <c r="J719" s="386">
        <v>0</v>
      </c>
      <c r="K719" s="386">
        <v>3898.57</v>
      </c>
      <c r="L719" s="387" t="s">
        <v>474</v>
      </c>
    </row>
    <row r="720" spans="1:12" hidden="1">
      <c r="A720" s="385" t="s">
        <v>345</v>
      </c>
      <c r="B720" s="385" t="s">
        <v>126</v>
      </c>
      <c r="C720" s="385" t="s">
        <v>548</v>
      </c>
      <c r="D720" s="385" t="s">
        <v>380</v>
      </c>
      <c r="E720" s="385" t="s">
        <v>19</v>
      </c>
      <c r="F720" s="385" t="s">
        <v>471</v>
      </c>
      <c r="G720" s="385" t="s">
        <v>19</v>
      </c>
      <c r="H720" s="386">
        <v>0</v>
      </c>
      <c r="I720" s="386">
        <v>2900</v>
      </c>
      <c r="J720" s="386">
        <v>0</v>
      </c>
      <c r="K720" s="386">
        <v>987.68</v>
      </c>
      <c r="L720" s="387" t="s">
        <v>472</v>
      </c>
    </row>
    <row r="721" spans="1:12" hidden="1">
      <c r="A721" s="385" t="s">
        <v>345</v>
      </c>
      <c r="B721" s="385" t="s">
        <v>126</v>
      </c>
      <c r="C721" s="385" t="s">
        <v>592</v>
      </c>
      <c r="D721" s="385" t="s">
        <v>380</v>
      </c>
      <c r="E721" s="385" t="s">
        <v>19</v>
      </c>
      <c r="F721" s="385" t="s">
        <v>482</v>
      </c>
      <c r="G721" s="385" t="s">
        <v>19</v>
      </c>
      <c r="H721" s="386">
        <v>0</v>
      </c>
      <c r="I721" s="386">
        <v>5698</v>
      </c>
      <c r="J721" s="386">
        <v>0</v>
      </c>
      <c r="K721" s="386">
        <v>5698</v>
      </c>
      <c r="L721" s="387" t="s">
        <v>483</v>
      </c>
    </row>
    <row r="722" spans="1:12" hidden="1">
      <c r="A722" s="385" t="s">
        <v>345</v>
      </c>
      <c r="B722" s="385" t="s">
        <v>126</v>
      </c>
      <c r="C722" s="385" t="s">
        <v>593</v>
      </c>
      <c r="D722" s="385" t="s">
        <v>380</v>
      </c>
      <c r="E722" s="385" t="s">
        <v>19</v>
      </c>
      <c r="F722" s="385" t="s">
        <v>482</v>
      </c>
      <c r="G722" s="385" t="s">
        <v>19</v>
      </c>
      <c r="H722" s="386">
        <v>0</v>
      </c>
      <c r="I722" s="386">
        <v>50987</v>
      </c>
      <c r="J722" s="386">
        <v>0</v>
      </c>
      <c r="K722" s="386">
        <v>50987</v>
      </c>
      <c r="L722" s="387" t="s">
        <v>483</v>
      </c>
    </row>
    <row r="723" spans="1:12" ht="25.5" hidden="1">
      <c r="A723" s="385" t="s">
        <v>345</v>
      </c>
      <c r="B723" s="385" t="s">
        <v>126</v>
      </c>
      <c r="C723" s="385" t="s">
        <v>594</v>
      </c>
      <c r="D723" s="385" t="s">
        <v>380</v>
      </c>
      <c r="E723" s="385" t="s">
        <v>19</v>
      </c>
      <c r="F723" s="385" t="s">
        <v>488</v>
      </c>
      <c r="G723" s="385" t="s">
        <v>19</v>
      </c>
      <c r="H723" s="386">
        <v>0</v>
      </c>
      <c r="I723" s="386">
        <v>197234</v>
      </c>
      <c r="J723" s="386">
        <v>0</v>
      </c>
      <c r="K723" s="386">
        <v>0</v>
      </c>
      <c r="L723" s="387" t="s">
        <v>489</v>
      </c>
    </row>
    <row r="724" spans="1:12" hidden="1">
      <c r="A724" s="385" t="s">
        <v>345</v>
      </c>
      <c r="B724" s="385" t="s">
        <v>126</v>
      </c>
      <c r="C724" s="385" t="s">
        <v>594</v>
      </c>
      <c r="D724" s="385" t="s">
        <v>380</v>
      </c>
      <c r="E724" s="385" t="s">
        <v>19</v>
      </c>
      <c r="F724" s="385" t="s">
        <v>473</v>
      </c>
      <c r="G724" s="385" t="s">
        <v>19</v>
      </c>
      <c r="H724" s="386">
        <v>0</v>
      </c>
      <c r="I724" s="386">
        <v>2066215.54</v>
      </c>
      <c r="J724" s="386">
        <v>0</v>
      </c>
      <c r="K724" s="386">
        <v>1398386.6</v>
      </c>
      <c r="L724" s="387" t="s">
        <v>474</v>
      </c>
    </row>
    <row r="725" spans="1:12" hidden="1">
      <c r="A725" s="385" t="s">
        <v>345</v>
      </c>
      <c r="B725" s="385" t="s">
        <v>126</v>
      </c>
      <c r="C725" s="385" t="s">
        <v>594</v>
      </c>
      <c r="D725" s="385" t="s">
        <v>380</v>
      </c>
      <c r="E725" s="385" t="s">
        <v>19</v>
      </c>
      <c r="F725" s="385" t="s">
        <v>471</v>
      </c>
      <c r="G725" s="385" t="s">
        <v>19</v>
      </c>
      <c r="H725" s="386">
        <v>0</v>
      </c>
      <c r="I725" s="386">
        <v>676878</v>
      </c>
      <c r="J725" s="386">
        <v>0</v>
      </c>
      <c r="K725" s="386">
        <v>407498.18</v>
      </c>
      <c r="L725" s="387" t="s">
        <v>472</v>
      </c>
    </row>
    <row r="726" spans="1:12" hidden="1">
      <c r="A726" s="385" t="s">
        <v>345</v>
      </c>
      <c r="B726" s="385" t="s">
        <v>126</v>
      </c>
      <c r="C726" s="385" t="s">
        <v>595</v>
      </c>
      <c r="D726" s="385" t="s">
        <v>380</v>
      </c>
      <c r="E726" s="385" t="s">
        <v>19</v>
      </c>
      <c r="F726" s="385" t="s">
        <v>473</v>
      </c>
      <c r="G726" s="385" t="s">
        <v>19</v>
      </c>
      <c r="H726" s="386">
        <v>0</v>
      </c>
      <c r="I726" s="386">
        <v>154203.46</v>
      </c>
      <c r="J726" s="386">
        <v>0</v>
      </c>
      <c r="K726" s="386">
        <v>154203.46</v>
      </c>
      <c r="L726" s="387" t="s">
        <v>474</v>
      </c>
    </row>
    <row r="727" spans="1:12" hidden="1">
      <c r="A727" s="385" t="s">
        <v>345</v>
      </c>
      <c r="B727" s="385" t="s">
        <v>126</v>
      </c>
      <c r="C727" s="385" t="s">
        <v>595</v>
      </c>
      <c r="D727" s="385" t="s">
        <v>380</v>
      </c>
      <c r="E727" s="385" t="s">
        <v>19</v>
      </c>
      <c r="F727" s="385" t="s">
        <v>471</v>
      </c>
      <c r="G727" s="385" t="s">
        <v>19</v>
      </c>
      <c r="H727" s="386">
        <v>0</v>
      </c>
      <c r="I727" s="386">
        <v>58127</v>
      </c>
      <c r="J727" s="386">
        <v>0</v>
      </c>
      <c r="K727" s="386">
        <v>50833.49</v>
      </c>
      <c r="L727" s="387" t="s">
        <v>472</v>
      </c>
    </row>
    <row r="728" spans="1:12" hidden="1">
      <c r="A728" s="385" t="s">
        <v>345</v>
      </c>
      <c r="B728" s="385" t="s">
        <v>126</v>
      </c>
      <c r="C728" s="385" t="s">
        <v>596</v>
      </c>
      <c r="D728" s="385" t="s">
        <v>380</v>
      </c>
      <c r="E728" s="385" t="s">
        <v>19</v>
      </c>
      <c r="F728" s="385" t="s">
        <v>482</v>
      </c>
      <c r="G728" s="385" t="s">
        <v>19</v>
      </c>
      <c r="H728" s="386">
        <v>0</v>
      </c>
      <c r="I728" s="386">
        <v>18794</v>
      </c>
      <c r="J728" s="386">
        <v>0</v>
      </c>
      <c r="K728" s="386">
        <v>18794</v>
      </c>
      <c r="L728" s="387" t="s">
        <v>483</v>
      </c>
    </row>
    <row r="729" spans="1:12" hidden="1">
      <c r="A729" s="385" t="s">
        <v>345</v>
      </c>
      <c r="B729" s="385" t="s">
        <v>126</v>
      </c>
      <c r="C729" s="385" t="s">
        <v>597</v>
      </c>
      <c r="D729" s="385" t="s">
        <v>380</v>
      </c>
      <c r="E729" s="385" t="s">
        <v>19</v>
      </c>
      <c r="F729" s="385" t="s">
        <v>482</v>
      </c>
      <c r="G729" s="385" t="s">
        <v>19</v>
      </c>
      <c r="H729" s="386">
        <v>0</v>
      </c>
      <c r="I729" s="386">
        <v>630</v>
      </c>
      <c r="J729" s="386">
        <v>0</v>
      </c>
      <c r="K729" s="386">
        <v>630</v>
      </c>
      <c r="L729" s="387" t="s">
        <v>483</v>
      </c>
    </row>
    <row r="730" spans="1:12" hidden="1">
      <c r="A730" s="385" t="s">
        <v>345</v>
      </c>
      <c r="B730" s="385" t="s">
        <v>490</v>
      </c>
      <c r="C730" s="385" t="s">
        <v>413</v>
      </c>
      <c r="D730" s="385" t="s">
        <v>380</v>
      </c>
      <c r="E730" s="385" t="s">
        <v>19</v>
      </c>
      <c r="F730" s="385" t="s">
        <v>471</v>
      </c>
      <c r="G730" s="385" t="s">
        <v>19</v>
      </c>
      <c r="H730" s="386">
        <v>0</v>
      </c>
      <c r="I730" s="386">
        <v>0</v>
      </c>
      <c r="J730" s="386">
        <v>0</v>
      </c>
      <c r="K730" s="386">
        <v>0</v>
      </c>
      <c r="L730" s="387" t="s">
        <v>472</v>
      </c>
    </row>
    <row r="731" spans="1:12" hidden="1">
      <c r="A731" s="385" t="s">
        <v>345</v>
      </c>
      <c r="B731" s="385" t="s">
        <v>490</v>
      </c>
      <c r="C731" s="385" t="s">
        <v>602</v>
      </c>
      <c r="D731" s="385" t="s">
        <v>380</v>
      </c>
      <c r="E731" s="385" t="s">
        <v>19</v>
      </c>
      <c r="F731" s="385" t="s">
        <v>482</v>
      </c>
      <c r="G731" s="385" t="s">
        <v>19</v>
      </c>
      <c r="H731" s="386">
        <v>0</v>
      </c>
      <c r="I731" s="386">
        <v>135407.07999999999</v>
      </c>
      <c r="J731" s="386">
        <v>0</v>
      </c>
      <c r="K731" s="386">
        <v>104565.48</v>
      </c>
      <c r="L731" s="387" t="s">
        <v>483</v>
      </c>
    </row>
    <row r="732" spans="1:12" ht="25.5" hidden="1">
      <c r="A732" s="385" t="s">
        <v>345</v>
      </c>
      <c r="B732" s="385" t="s">
        <v>490</v>
      </c>
      <c r="C732" s="385" t="s">
        <v>602</v>
      </c>
      <c r="D732" s="385" t="s">
        <v>380</v>
      </c>
      <c r="E732" s="385" t="s">
        <v>19</v>
      </c>
      <c r="F732" s="385" t="s">
        <v>603</v>
      </c>
      <c r="G732" s="385" t="s">
        <v>19</v>
      </c>
      <c r="H732" s="386">
        <v>0</v>
      </c>
      <c r="I732" s="386">
        <v>1772490</v>
      </c>
      <c r="J732" s="386">
        <v>0</v>
      </c>
      <c r="K732" s="386">
        <v>1068463.01</v>
      </c>
      <c r="L732" s="387" t="s">
        <v>604</v>
      </c>
    </row>
    <row r="733" spans="1:12" hidden="1">
      <c r="A733" s="385" t="s">
        <v>345</v>
      </c>
      <c r="B733" s="385" t="s">
        <v>490</v>
      </c>
      <c r="C733" s="385" t="s">
        <v>521</v>
      </c>
      <c r="D733" s="385" t="s">
        <v>380</v>
      </c>
      <c r="E733" s="385" t="s">
        <v>19</v>
      </c>
      <c r="F733" s="385" t="s">
        <v>479</v>
      </c>
      <c r="G733" s="385" t="s">
        <v>19</v>
      </c>
      <c r="H733" s="386">
        <v>0</v>
      </c>
      <c r="I733" s="386">
        <v>1500</v>
      </c>
      <c r="J733" s="386">
        <v>0</v>
      </c>
      <c r="K733" s="386">
        <v>0</v>
      </c>
      <c r="L733" s="387" t="s">
        <v>480</v>
      </c>
    </row>
    <row r="734" spans="1:12" ht="25.5" hidden="1">
      <c r="A734" s="385" t="s">
        <v>345</v>
      </c>
      <c r="B734" s="385" t="s">
        <v>490</v>
      </c>
      <c r="C734" s="385" t="s">
        <v>521</v>
      </c>
      <c r="D734" s="385" t="s">
        <v>380</v>
      </c>
      <c r="E734" s="385" t="s">
        <v>19</v>
      </c>
      <c r="F734" s="385" t="s">
        <v>488</v>
      </c>
      <c r="G734" s="385" t="s">
        <v>19</v>
      </c>
      <c r="H734" s="386">
        <v>0</v>
      </c>
      <c r="I734" s="386">
        <v>500</v>
      </c>
      <c r="J734" s="386">
        <v>0</v>
      </c>
      <c r="K734" s="386">
        <v>0</v>
      </c>
      <c r="L734" s="387" t="s">
        <v>489</v>
      </c>
    </row>
    <row r="735" spans="1:12" hidden="1">
      <c r="A735" s="385" t="s">
        <v>345</v>
      </c>
      <c r="B735" s="385" t="s">
        <v>490</v>
      </c>
      <c r="C735" s="385" t="s">
        <v>521</v>
      </c>
      <c r="D735" s="385" t="s">
        <v>380</v>
      </c>
      <c r="E735" s="385" t="s">
        <v>19</v>
      </c>
      <c r="F735" s="385" t="s">
        <v>471</v>
      </c>
      <c r="G735" s="385" t="s">
        <v>19</v>
      </c>
      <c r="H735" s="386">
        <v>0</v>
      </c>
      <c r="I735" s="386">
        <v>2000</v>
      </c>
      <c r="J735" s="386">
        <v>0</v>
      </c>
      <c r="K735" s="386">
        <v>1005.28</v>
      </c>
      <c r="L735" s="387" t="s">
        <v>472</v>
      </c>
    </row>
    <row r="736" spans="1:12" hidden="1">
      <c r="A736" s="385" t="s">
        <v>345</v>
      </c>
      <c r="B736" s="385" t="s">
        <v>490</v>
      </c>
      <c r="C736" s="385" t="s">
        <v>523</v>
      </c>
      <c r="D736" s="385" t="s">
        <v>380</v>
      </c>
      <c r="E736" s="385" t="s">
        <v>19</v>
      </c>
      <c r="F736" s="385" t="s">
        <v>479</v>
      </c>
      <c r="G736" s="385" t="s">
        <v>19</v>
      </c>
      <c r="H736" s="386">
        <v>0</v>
      </c>
      <c r="I736" s="386">
        <v>570549</v>
      </c>
      <c r="J736" s="386">
        <v>0</v>
      </c>
      <c r="K736" s="386">
        <v>376689.75</v>
      </c>
      <c r="L736" s="387" t="s">
        <v>480</v>
      </c>
    </row>
    <row r="737" spans="1:12" ht="25.5" hidden="1">
      <c r="A737" s="385" t="s">
        <v>345</v>
      </c>
      <c r="B737" s="385" t="s">
        <v>490</v>
      </c>
      <c r="C737" s="385" t="s">
        <v>523</v>
      </c>
      <c r="D737" s="385" t="s">
        <v>380</v>
      </c>
      <c r="E737" s="385" t="s">
        <v>19</v>
      </c>
      <c r="F737" s="385" t="s">
        <v>488</v>
      </c>
      <c r="G737" s="385" t="s">
        <v>19</v>
      </c>
      <c r="H737" s="386">
        <v>0</v>
      </c>
      <c r="I737" s="386">
        <v>9438</v>
      </c>
      <c r="J737" s="386">
        <v>0</v>
      </c>
      <c r="K737" s="386">
        <v>0</v>
      </c>
      <c r="L737" s="387" t="s">
        <v>489</v>
      </c>
    </row>
    <row r="738" spans="1:12" hidden="1">
      <c r="A738" s="385" t="s">
        <v>345</v>
      </c>
      <c r="B738" s="385" t="s">
        <v>490</v>
      </c>
      <c r="C738" s="385" t="s">
        <v>523</v>
      </c>
      <c r="D738" s="385" t="s">
        <v>380</v>
      </c>
      <c r="E738" s="385" t="s">
        <v>19</v>
      </c>
      <c r="F738" s="385" t="s">
        <v>471</v>
      </c>
      <c r="G738" s="385" t="s">
        <v>19</v>
      </c>
      <c r="H738" s="386">
        <v>0</v>
      </c>
      <c r="I738" s="386">
        <v>517000</v>
      </c>
      <c r="J738" s="386">
        <v>0</v>
      </c>
      <c r="K738" s="386">
        <v>348153.43</v>
      </c>
      <c r="L738" s="387" t="s">
        <v>472</v>
      </c>
    </row>
    <row r="739" spans="1:12" hidden="1">
      <c r="A739" s="385" t="s">
        <v>345</v>
      </c>
      <c r="B739" s="385" t="s">
        <v>490</v>
      </c>
      <c r="C739" s="385" t="s">
        <v>524</v>
      </c>
      <c r="D739" s="385" t="s">
        <v>380</v>
      </c>
      <c r="E739" s="385" t="s">
        <v>19</v>
      </c>
      <c r="F739" s="385" t="s">
        <v>479</v>
      </c>
      <c r="G739" s="385" t="s">
        <v>19</v>
      </c>
      <c r="H739" s="386">
        <v>0</v>
      </c>
      <c r="I739" s="386">
        <v>40000</v>
      </c>
      <c r="J739" s="386">
        <v>0</v>
      </c>
      <c r="K739" s="386">
        <v>38885.699999999997</v>
      </c>
      <c r="L739" s="387" t="s">
        <v>480</v>
      </c>
    </row>
    <row r="740" spans="1:12" hidden="1">
      <c r="A740" s="385" t="s">
        <v>345</v>
      </c>
      <c r="B740" s="385" t="s">
        <v>490</v>
      </c>
      <c r="C740" s="385" t="s">
        <v>524</v>
      </c>
      <c r="D740" s="385" t="s">
        <v>380</v>
      </c>
      <c r="E740" s="385" t="s">
        <v>19</v>
      </c>
      <c r="F740" s="385" t="s">
        <v>471</v>
      </c>
      <c r="G740" s="385" t="s">
        <v>19</v>
      </c>
      <c r="H740" s="386">
        <v>0</v>
      </c>
      <c r="I740" s="386">
        <v>38972</v>
      </c>
      <c r="J740" s="386">
        <v>0</v>
      </c>
      <c r="K740" s="386">
        <v>38512.65</v>
      </c>
      <c r="L740" s="387" t="s">
        <v>472</v>
      </c>
    </row>
    <row r="741" spans="1:12" ht="25.5" hidden="1">
      <c r="A741" s="385" t="s">
        <v>345</v>
      </c>
      <c r="B741" s="385" t="s">
        <v>490</v>
      </c>
      <c r="C741" s="385" t="s">
        <v>525</v>
      </c>
      <c r="D741" s="385" t="s">
        <v>380</v>
      </c>
      <c r="E741" s="385" t="s">
        <v>19</v>
      </c>
      <c r="F741" s="385" t="s">
        <v>488</v>
      </c>
      <c r="G741" s="385" t="s">
        <v>19</v>
      </c>
      <c r="H741" s="386">
        <v>0</v>
      </c>
      <c r="I741" s="386">
        <v>11315</v>
      </c>
      <c r="J741" s="386">
        <v>0</v>
      </c>
      <c r="K741" s="386">
        <v>0</v>
      </c>
      <c r="L741" s="387" t="s">
        <v>489</v>
      </c>
    </row>
    <row r="742" spans="1:12" hidden="1">
      <c r="A742" s="385" t="s">
        <v>345</v>
      </c>
      <c r="B742" s="385" t="s">
        <v>490</v>
      </c>
      <c r="C742" s="385" t="s">
        <v>525</v>
      </c>
      <c r="D742" s="385" t="s">
        <v>380</v>
      </c>
      <c r="E742" s="385" t="s">
        <v>19</v>
      </c>
      <c r="F742" s="385" t="s">
        <v>479</v>
      </c>
      <c r="G742" s="385" t="s">
        <v>19</v>
      </c>
      <c r="H742" s="386">
        <v>0</v>
      </c>
      <c r="I742" s="386">
        <v>648739</v>
      </c>
      <c r="J742" s="386">
        <v>0</v>
      </c>
      <c r="K742" s="386">
        <v>375004.7</v>
      </c>
      <c r="L742" s="387" t="s">
        <v>480</v>
      </c>
    </row>
    <row r="743" spans="1:12" hidden="1">
      <c r="A743" s="385" t="s">
        <v>345</v>
      </c>
      <c r="B743" s="385" t="s">
        <v>490</v>
      </c>
      <c r="C743" s="385" t="s">
        <v>525</v>
      </c>
      <c r="D743" s="385" t="s">
        <v>380</v>
      </c>
      <c r="E743" s="385" t="s">
        <v>19</v>
      </c>
      <c r="F743" s="385" t="s">
        <v>471</v>
      </c>
      <c r="G743" s="385" t="s">
        <v>19</v>
      </c>
      <c r="H743" s="386">
        <v>0</v>
      </c>
      <c r="I743" s="386">
        <v>695821</v>
      </c>
      <c r="J743" s="386">
        <v>0</v>
      </c>
      <c r="K743" s="386">
        <v>408531.28</v>
      </c>
      <c r="L743" s="387" t="s">
        <v>472</v>
      </c>
    </row>
    <row r="744" spans="1:12" ht="25.5" hidden="1">
      <c r="A744" s="385" t="s">
        <v>345</v>
      </c>
      <c r="B744" s="385" t="s">
        <v>490</v>
      </c>
      <c r="C744" s="385" t="s">
        <v>526</v>
      </c>
      <c r="D744" s="385" t="s">
        <v>380</v>
      </c>
      <c r="E744" s="385" t="s">
        <v>19</v>
      </c>
      <c r="F744" s="385" t="s">
        <v>488</v>
      </c>
      <c r="G744" s="385" t="s">
        <v>19</v>
      </c>
      <c r="H744" s="386">
        <v>0</v>
      </c>
      <c r="I744" s="386">
        <v>4219</v>
      </c>
      <c r="J744" s="386">
        <v>0</v>
      </c>
      <c r="K744" s="386">
        <v>0</v>
      </c>
      <c r="L744" s="387" t="s">
        <v>489</v>
      </c>
    </row>
    <row r="745" spans="1:12" hidden="1">
      <c r="A745" s="385" t="s">
        <v>345</v>
      </c>
      <c r="B745" s="385" t="s">
        <v>490</v>
      </c>
      <c r="C745" s="385" t="s">
        <v>526</v>
      </c>
      <c r="D745" s="385" t="s">
        <v>380</v>
      </c>
      <c r="E745" s="385" t="s">
        <v>19</v>
      </c>
      <c r="F745" s="385" t="s">
        <v>479</v>
      </c>
      <c r="G745" s="385" t="s">
        <v>19</v>
      </c>
      <c r="H745" s="386">
        <v>0</v>
      </c>
      <c r="I745" s="386">
        <v>91207</v>
      </c>
      <c r="J745" s="386">
        <v>0</v>
      </c>
      <c r="K745" s="386">
        <v>36834.339999999997</v>
      </c>
      <c r="L745" s="387" t="s">
        <v>480</v>
      </c>
    </row>
    <row r="746" spans="1:12" hidden="1">
      <c r="A746" s="385" t="s">
        <v>345</v>
      </c>
      <c r="B746" s="385" t="s">
        <v>490</v>
      </c>
      <c r="C746" s="385" t="s">
        <v>526</v>
      </c>
      <c r="D746" s="385" t="s">
        <v>380</v>
      </c>
      <c r="E746" s="385" t="s">
        <v>19</v>
      </c>
      <c r="F746" s="385" t="s">
        <v>471</v>
      </c>
      <c r="G746" s="385" t="s">
        <v>19</v>
      </c>
      <c r="H746" s="386">
        <v>0</v>
      </c>
      <c r="I746" s="386">
        <v>95850</v>
      </c>
      <c r="J746" s="386">
        <v>0</v>
      </c>
      <c r="K746" s="386">
        <v>39211.599999999999</v>
      </c>
      <c r="L746" s="387" t="s">
        <v>472</v>
      </c>
    </row>
    <row r="747" spans="1:12" hidden="1">
      <c r="A747" s="385" t="s">
        <v>345</v>
      </c>
      <c r="B747" s="385" t="s">
        <v>490</v>
      </c>
      <c r="C747" s="385" t="s">
        <v>527</v>
      </c>
      <c r="D747" s="385" t="s">
        <v>380</v>
      </c>
      <c r="E747" s="385" t="s">
        <v>19</v>
      </c>
      <c r="F747" s="385" t="s">
        <v>471</v>
      </c>
      <c r="G747" s="385" t="s">
        <v>19</v>
      </c>
      <c r="H747" s="386">
        <v>0</v>
      </c>
      <c r="I747" s="386">
        <v>5400</v>
      </c>
      <c r="J747" s="386">
        <v>0</v>
      </c>
      <c r="K747" s="386">
        <v>0</v>
      </c>
      <c r="L747" s="387" t="s">
        <v>472</v>
      </c>
    </row>
    <row r="748" spans="1:12" hidden="1">
      <c r="A748" s="385" t="s">
        <v>345</v>
      </c>
      <c r="B748" s="385" t="s">
        <v>490</v>
      </c>
      <c r="C748" s="385" t="s">
        <v>528</v>
      </c>
      <c r="D748" s="385" t="s">
        <v>380</v>
      </c>
      <c r="E748" s="385" t="s">
        <v>19</v>
      </c>
      <c r="F748" s="385" t="s">
        <v>479</v>
      </c>
      <c r="G748" s="385" t="s">
        <v>19</v>
      </c>
      <c r="H748" s="386">
        <v>0</v>
      </c>
      <c r="I748" s="386">
        <v>44000</v>
      </c>
      <c r="J748" s="386">
        <v>0</v>
      </c>
      <c r="K748" s="386">
        <v>14781.17</v>
      </c>
      <c r="L748" s="387" t="s">
        <v>480</v>
      </c>
    </row>
    <row r="749" spans="1:12" hidden="1">
      <c r="A749" s="385" t="s">
        <v>345</v>
      </c>
      <c r="B749" s="385" t="s">
        <v>490</v>
      </c>
      <c r="C749" s="385" t="s">
        <v>528</v>
      </c>
      <c r="D749" s="385" t="s">
        <v>380</v>
      </c>
      <c r="E749" s="385" t="s">
        <v>19</v>
      </c>
      <c r="F749" s="385" t="s">
        <v>471</v>
      </c>
      <c r="G749" s="385" t="s">
        <v>19</v>
      </c>
      <c r="H749" s="386">
        <v>0</v>
      </c>
      <c r="I749" s="386">
        <v>23900</v>
      </c>
      <c r="J749" s="386">
        <v>0</v>
      </c>
      <c r="K749" s="386">
        <v>12700.22</v>
      </c>
      <c r="L749" s="387" t="s">
        <v>472</v>
      </c>
    </row>
    <row r="750" spans="1:12" ht="25.5" hidden="1">
      <c r="A750" s="385" t="s">
        <v>345</v>
      </c>
      <c r="B750" s="385" t="s">
        <v>490</v>
      </c>
      <c r="C750" s="385" t="s">
        <v>528</v>
      </c>
      <c r="D750" s="385" t="s">
        <v>380</v>
      </c>
      <c r="E750" s="385" t="s">
        <v>19</v>
      </c>
      <c r="F750" s="385" t="s">
        <v>389</v>
      </c>
      <c r="G750" s="385" t="s">
        <v>19</v>
      </c>
      <c r="H750" s="386">
        <v>0</v>
      </c>
      <c r="I750" s="386">
        <v>0</v>
      </c>
      <c r="J750" s="386">
        <v>0</v>
      </c>
      <c r="K750" s="386">
        <v>0</v>
      </c>
      <c r="L750" s="387" t="s">
        <v>390</v>
      </c>
    </row>
    <row r="751" spans="1:12" hidden="1">
      <c r="A751" s="385" t="s">
        <v>345</v>
      </c>
      <c r="B751" s="385" t="s">
        <v>490</v>
      </c>
      <c r="C751" s="385" t="s">
        <v>598</v>
      </c>
      <c r="D751" s="385" t="s">
        <v>380</v>
      </c>
      <c r="E751" s="385" t="s">
        <v>19</v>
      </c>
      <c r="F751" s="385" t="s">
        <v>479</v>
      </c>
      <c r="G751" s="385" t="s">
        <v>19</v>
      </c>
      <c r="H751" s="386">
        <v>0</v>
      </c>
      <c r="I751" s="386">
        <v>15000</v>
      </c>
      <c r="J751" s="386">
        <v>0</v>
      </c>
      <c r="K751" s="386">
        <v>380</v>
      </c>
      <c r="L751" s="387" t="s">
        <v>480</v>
      </c>
    </row>
    <row r="752" spans="1:12" hidden="1">
      <c r="A752" s="385" t="s">
        <v>345</v>
      </c>
      <c r="B752" s="385" t="s">
        <v>490</v>
      </c>
      <c r="C752" s="385" t="s">
        <v>598</v>
      </c>
      <c r="D752" s="385" t="s">
        <v>380</v>
      </c>
      <c r="E752" s="385" t="s">
        <v>19</v>
      </c>
      <c r="F752" s="385" t="s">
        <v>471</v>
      </c>
      <c r="G752" s="385" t="s">
        <v>19</v>
      </c>
      <c r="H752" s="386">
        <v>0</v>
      </c>
      <c r="I752" s="386">
        <v>13040</v>
      </c>
      <c r="J752" s="386">
        <v>0</v>
      </c>
      <c r="K752" s="386">
        <v>205.02</v>
      </c>
      <c r="L752" s="387" t="s">
        <v>472</v>
      </c>
    </row>
    <row r="753" spans="1:12" hidden="1">
      <c r="A753" s="385" t="s">
        <v>345</v>
      </c>
      <c r="B753" s="385" t="s">
        <v>490</v>
      </c>
      <c r="C753" s="385" t="s">
        <v>530</v>
      </c>
      <c r="D753" s="385" t="s">
        <v>380</v>
      </c>
      <c r="E753" s="385" t="s">
        <v>19</v>
      </c>
      <c r="F753" s="385" t="s">
        <v>479</v>
      </c>
      <c r="G753" s="385" t="s">
        <v>19</v>
      </c>
      <c r="H753" s="386">
        <v>0</v>
      </c>
      <c r="I753" s="386">
        <v>112000</v>
      </c>
      <c r="J753" s="386">
        <v>0</v>
      </c>
      <c r="K753" s="386">
        <v>59482.03</v>
      </c>
      <c r="L753" s="387" t="s">
        <v>480</v>
      </c>
    </row>
    <row r="754" spans="1:12" hidden="1">
      <c r="A754" s="385" t="s">
        <v>345</v>
      </c>
      <c r="B754" s="385" t="s">
        <v>490</v>
      </c>
      <c r="C754" s="385" t="s">
        <v>530</v>
      </c>
      <c r="D754" s="385" t="s">
        <v>380</v>
      </c>
      <c r="E754" s="385" t="s">
        <v>19</v>
      </c>
      <c r="F754" s="385" t="s">
        <v>471</v>
      </c>
      <c r="G754" s="385" t="s">
        <v>19</v>
      </c>
      <c r="H754" s="386">
        <v>0</v>
      </c>
      <c r="I754" s="386">
        <v>198153</v>
      </c>
      <c r="J754" s="386">
        <v>0</v>
      </c>
      <c r="K754" s="386">
        <v>124058.05</v>
      </c>
      <c r="L754" s="387" t="s">
        <v>472</v>
      </c>
    </row>
    <row r="755" spans="1:12" hidden="1">
      <c r="A755" s="385" t="s">
        <v>345</v>
      </c>
      <c r="B755" s="385" t="s">
        <v>490</v>
      </c>
      <c r="C755" s="385" t="s">
        <v>416</v>
      </c>
      <c r="D755" s="385" t="s">
        <v>380</v>
      </c>
      <c r="E755" s="385" t="s">
        <v>19</v>
      </c>
      <c r="F755" s="385" t="s">
        <v>479</v>
      </c>
      <c r="G755" s="385" t="s">
        <v>19</v>
      </c>
      <c r="H755" s="386">
        <v>0</v>
      </c>
      <c r="I755" s="386">
        <v>8000</v>
      </c>
      <c r="J755" s="386">
        <v>0</v>
      </c>
      <c r="K755" s="386">
        <v>7984</v>
      </c>
      <c r="L755" s="387" t="s">
        <v>480</v>
      </c>
    </row>
    <row r="756" spans="1:12" hidden="1">
      <c r="A756" s="385" t="s">
        <v>345</v>
      </c>
      <c r="B756" s="385" t="s">
        <v>490</v>
      </c>
      <c r="C756" s="385" t="s">
        <v>416</v>
      </c>
      <c r="D756" s="385" t="s">
        <v>380</v>
      </c>
      <c r="E756" s="385" t="s">
        <v>19</v>
      </c>
      <c r="F756" s="385" t="s">
        <v>471</v>
      </c>
      <c r="G756" s="385" t="s">
        <v>19</v>
      </c>
      <c r="H756" s="386">
        <v>0</v>
      </c>
      <c r="I756" s="386">
        <v>9100</v>
      </c>
      <c r="J756" s="386">
        <v>0</v>
      </c>
      <c r="K756" s="386">
        <v>8807.33</v>
      </c>
      <c r="L756" s="387" t="s">
        <v>472</v>
      </c>
    </row>
    <row r="757" spans="1:12" hidden="1">
      <c r="A757" s="385" t="s">
        <v>345</v>
      </c>
      <c r="B757" s="385" t="s">
        <v>490</v>
      </c>
      <c r="C757" s="385" t="s">
        <v>531</v>
      </c>
      <c r="D757" s="385" t="s">
        <v>380</v>
      </c>
      <c r="E757" s="385" t="s">
        <v>19</v>
      </c>
      <c r="F757" s="385" t="s">
        <v>479</v>
      </c>
      <c r="G757" s="385" t="s">
        <v>19</v>
      </c>
      <c r="H757" s="386">
        <v>0</v>
      </c>
      <c r="I757" s="386">
        <v>2700</v>
      </c>
      <c r="J757" s="386">
        <v>0</v>
      </c>
      <c r="K757" s="386">
        <v>950</v>
      </c>
      <c r="L757" s="387" t="s">
        <v>480</v>
      </c>
    </row>
    <row r="758" spans="1:12" hidden="1">
      <c r="A758" s="385" t="s">
        <v>345</v>
      </c>
      <c r="B758" s="385" t="s">
        <v>490</v>
      </c>
      <c r="C758" s="385" t="s">
        <v>531</v>
      </c>
      <c r="D758" s="385" t="s">
        <v>380</v>
      </c>
      <c r="E758" s="385" t="s">
        <v>19</v>
      </c>
      <c r="F758" s="385" t="s">
        <v>471</v>
      </c>
      <c r="G758" s="385" t="s">
        <v>19</v>
      </c>
      <c r="H758" s="386">
        <v>0</v>
      </c>
      <c r="I758" s="386">
        <v>3100</v>
      </c>
      <c r="J758" s="386">
        <v>0</v>
      </c>
      <c r="K758" s="386">
        <v>2398.4</v>
      </c>
      <c r="L758" s="387" t="s">
        <v>472</v>
      </c>
    </row>
    <row r="759" spans="1:12" hidden="1">
      <c r="A759" s="385" t="s">
        <v>345</v>
      </c>
      <c r="B759" s="385" t="s">
        <v>490</v>
      </c>
      <c r="C759" s="385" t="s">
        <v>510</v>
      </c>
      <c r="D759" s="385" t="s">
        <v>380</v>
      </c>
      <c r="E759" s="385" t="s">
        <v>19</v>
      </c>
      <c r="F759" s="385" t="s">
        <v>479</v>
      </c>
      <c r="G759" s="385" t="s">
        <v>19</v>
      </c>
      <c r="H759" s="386">
        <v>0</v>
      </c>
      <c r="I759" s="386">
        <v>48000</v>
      </c>
      <c r="J759" s="386">
        <v>0</v>
      </c>
      <c r="K759" s="386">
        <v>36542.74</v>
      </c>
      <c r="L759" s="387" t="s">
        <v>480</v>
      </c>
    </row>
    <row r="760" spans="1:12" hidden="1">
      <c r="A760" s="385" t="s">
        <v>345</v>
      </c>
      <c r="B760" s="385" t="s">
        <v>490</v>
      </c>
      <c r="C760" s="385" t="s">
        <v>510</v>
      </c>
      <c r="D760" s="385" t="s">
        <v>380</v>
      </c>
      <c r="E760" s="385" t="s">
        <v>19</v>
      </c>
      <c r="F760" s="385" t="s">
        <v>471</v>
      </c>
      <c r="G760" s="385" t="s">
        <v>19</v>
      </c>
      <c r="H760" s="386">
        <v>0</v>
      </c>
      <c r="I760" s="386">
        <v>38960</v>
      </c>
      <c r="J760" s="386">
        <v>0</v>
      </c>
      <c r="K760" s="386">
        <v>38133.15</v>
      </c>
      <c r="L760" s="387" t="s">
        <v>472</v>
      </c>
    </row>
    <row r="761" spans="1:12" hidden="1">
      <c r="A761" s="385" t="s">
        <v>345</v>
      </c>
      <c r="B761" s="385" t="s">
        <v>490</v>
      </c>
      <c r="C761" s="385" t="s">
        <v>590</v>
      </c>
      <c r="D761" s="385" t="s">
        <v>380</v>
      </c>
      <c r="E761" s="385" t="s">
        <v>19</v>
      </c>
      <c r="F761" s="385" t="s">
        <v>482</v>
      </c>
      <c r="G761" s="385" t="s">
        <v>19</v>
      </c>
      <c r="H761" s="386">
        <v>0</v>
      </c>
      <c r="I761" s="386">
        <v>5898.62</v>
      </c>
      <c r="J761" s="386">
        <v>0</v>
      </c>
      <c r="K761" s="386">
        <v>5685.62</v>
      </c>
      <c r="L761" s="387" t="s">
        <v>483</v>
      </c>
    </row>
    <row r="762" spans="1:12" hidden="1">
      <c r="A762" s="385" t="s">
        <v>345</v>
      </c>
      <c r="B762" s="385" t="s">
        <v>490</v>
      </c>
      <c r="C762" s="385" t="s">
        <v>532</v>
      </c>
      <c r="D762" s="385" t="s">
        <v>380</v>
      </c>
      <c r="E762" s="385" t="s">
        <v>19</v>
      </c>
      <c r="F762" s="385" t="s">
        <v>479</v>
      </c>
      <c r="G762" s="385" t="s">
        <v>19</v>
      </c>
      <c r="H762" s="386">
        <v>0</v>
      </c>
      <c r="I762" s="386">
        <v>4600</v>
      </c>
      <c r="J762" s="386">
        <v>0</v>
      </c>
      <c r="K762" s="386">
        <v>2943.22</v>
      </c>
      <c r="L762" s="387" t="s">
        <v>480</v>
      </c>
    </row>
    <row r="763" spans="1:12" hidden="1">
      <c r="A763" s="385" t="s">
        <v>345</v>
      </c>
      <c r="B763" s="385" t="s">
        <v>490</v>
      </c>
      <c r="C763" s="385" t="s">
        <v>532</v>
      </c>
      <c r="D763" s="385" t="s">
        <v>380</v>
      </c>
      <c r="E763" s="385" t="s">
        <v>19</v>
      </c>
      <c r="F763" s="385" t="s">
        <v>471</v>
      </c>
      <c r="G763" s="385" t="s">
        <v>19</v>
      </c>
      <c r="H763" s="386">
        <v>0</v>
      </c>
      <c r="I763" s="386">
        <v>2800</v>
      </c>
      <c r="J763" s="386">
        <v>0</v>
      </c>
      <c r="K763" s="386">
        <v>1594.58</v>
      </c>
      <c r="L763" s="387" t="s">
        <v>472</v>
      </c>
    </row>
    <row r="764" spans="1:12" hidden="1">
      <c r="A764" s="385" t="s">
        <v>345</v>
      </c>
      <c r="B764" s="385" t="s">
        <v>490</v>
      </c>
      <c r="C764" s="385" t="s">
        <v>591</v>
      </c>
      <c r="D764" s="385" t="s">
        <v>380</v>
      </c>
      <c r="E764" s="385" t="s">
        <v>19</v>
      </c>
      <c r="F764" s="385" t="s">
        <v>482</v>
      </c>
      <c r="G764" s="385" t="s">
        <v>19</v>
      </c>
      <c r="H764" s="386">
        <v>0</v>
      </c>
      <c r="I764" s="386">
        <v>2295</v>
      </c>
      <c r="J764" s="386">
        <v>0</v>
      </c>
      <c r="K764" s="386">
        <v>2136</v>
      </c>
      <c r="L764" s="387" t="s">
        <v>483</v>
      </c>
    </row>
    <row r="765" spans="1:12" hidden="1">
      <c r="A765" s="385" t="s">
        <v>345</v>
      </c>
      <c r="B765" s="385" t="s">
        <v>490</v>
      </c>
      <c r="C765" s="385" t="s">
        <v>533</v>
      </c>
      <c r="D765" s="385" t="s">
        <v>380</v>
      </c>
      <c r="E765" s="385" t="s">
        <v>19</v>
      </c>
      <c r="F765" s="385" t="s">
        <v>479</v>
      </c>
      <c r="G765" s="385" t="s">
        <v>19</v>
      </c>
      <c r="H765" s="386">
        <v>0</v>
      </c>
      <c r="I765" s="386">
        <v>3000</v>
      </c>
      <c r="J765" s="386">
        <v>0</v>
      </c>
      <c r="K765" s="386">
        <v>2782.11</v>
      </c>
      <c r="L765" s="387" t="s">
        <v>480</v>
      </c>
    </row>
    <row r="766" spans="1:12" hidden="1">
      <c r="A766" s="385" t="s">
        <v>345</v>
      </c>
      <c r="B766" s="385" t="s">
        <v>490</v>
      </c>
      <c r="C766" s="385" t="s">
        <v>533</v>
      </c>
      <c r="D766" s="385" t="s">
        <v>380</v>
      </c>
      <c r="E766" s="385" t="s">
        <v>19</v>
      </c>
      <c r="F766" s="385" t="s">
        <v>471</v>
      </c>
      <c r="G766" s="385" t="s">
        <v>19</v>
      </c>
      <c r="H766" s="386">
        <v>0</v>
      </c>
      <c r="I766" s="386">
        <v>3800</v>
      </c>
      <c r="J766" s="386">
        <v>0</v>
      </c>
      <c r="K766" s="386">
        <v>3332.03</v>
      </c>
      <c r="L766" s="387" t="s">
        <v>472</v>
      </c>
    </row>
    <row r="767" spans="1:12" hidden="1">
      <c r="A767" s="385" t="s">
        <v>345</v>
      </c>
      <c r="B767" s="385" t="s">
        <v>490</v>
      </c>
      <c r="C767" s="385" t="s">
        <v>535</v>
      </c>
      <c r="D767" s="385" t="s">
        <v>380</v>
      </c>
      <c r="E767" s="385" t="s">
        <v>19</v>
      </c>
      <c r="F767" s="385" t="s">
        <v>479</v>
      </c>
      <c r="G767" s="385" t="s">
        <v>19</v>
      </c>
      <c r="H767" s="386">
        <v>0</v>
      </c>
      <c r="I767" s="386">
        <v>177522</v>
      </c>
      <c r="J767" s="386">
        <v>0</v>
      </c>
      <c r="K767" s="386">
        <v>125742</v>
      </c>
      <c r="L767" s="387" t="s">
        <v>480</v>
      </c>
    </row>
    <row r="768" spans="1:12" hidden="1">
      <c r="A768" s="385" t="s">
        <v>345</v>
      </c>
      <c r="B768" s="385" t="s">
        <v>490</v>
      </c>
      <c r="C768" s="385" t="s">
        <v>535</v>
      </c>
      <c r="D768" s="385" t="s">
        <v>380</v>
      </c>
      <c r="E768" s="385" t="s">
        <v>19</v>
      </c>
      <c r="F768" s="385" t="s">
        <v>471</v>
      </c>
      <c r="G768" s="385" t="s">
        <v>19</v>
      </c>
      <c r="H768" s="386">
        <v>0</v>
      </c>
      <c r="I768" s="386">
        <v>212026</v>
      </c>
      <c r="J768" s="386">
        <v>0</v>
      </c>
      <c r="K768" s="386">
        <v>155976.70000000001</v>
      </c>
      <c r="L768" s="387" t="s">
        <v>472</v>
      </c>
    </row>
    <row r="769" spans="1:12" hidden="1">
      <c r="A769" s="385" t="s">
        <v>345</v>
      </c>
      <c r="B769" s="385" t="s">
        <v>490</v>
      </c>
      <c r="C769" s="385" t="s">
        <v>537</v>
      </c>
      <c r="D769" s="385" t="s">
        <v>380</v>
      </c>
      <c r="E769" s="385" t="s">
        <v>19</v>
      </c>
      <c r="F769" s="385" t="s">
        <v>471</v>
      </c>
      <c r="G769" s="385" t="s">
        <v>19</v>
      </c>
      <c r="H769" s="386">
        <v>0</v>
      </c>
      <c r="I769" s="386">
        <v>100</v>
      </c>
      <c r="J769" s="386">
        <v>0</v>
      </c>
      <c r="K769" s="386">
        <v>0</v>
      </c>
      <c r="L769" s="387" t="s">
        <v>472</v>
      </c>
    </row>
    <row r="770" spans="1:12" hidden="1">
      <c r="A770" s="385" t="s">
        <v>345</v>
      </c>
      <c r="B770" s="385" t="s">
        <v>490</v>
      </c>
      <c r="C770" s="385" t="s">
        <v>538</v>
      </c>
      <c r="D770" s="385" t="s">
        <v>380</v>
      </c>
      <c r="E770" s="385" t="s">
        <v>19</v>
      </c>
      <c r="F770" s="385" t="s">
        <v>386</v>
      </c>
      <c r="G770" s="385" t="s">
        <v>19</v>
      </c>
      <c r="H770" s="386">
        <v>0</v>
      </c>
      <c r="I770" s="386">
        <v>9000</v>
      </c>
      <c r="J770" s="386">
        <v>0</v>
      </c>
      <c r="K770" s="386">
        <v>0</v>
      </c>
      <c r="L770" s="387" t="s">
        <v>387</v>
      </c>
    </row>
    <row r="771" spans="1:12" hidden="1">
      <c r="A771" s="385" t="s">
        <v>345</v>
      </c>
      <c r="B771" s="385" t="s">
        <v>490</v>
      </c>
      <c r="C771" s="385" t="s">
        <v>539</v>
      </c>
      <c r="D771" s="385" t="s">
        <v>380</v>
      </c>
      <c r="E771" s="385" t="s">
        <v>19</v>
      </c>
      <c r="F771" s="385" t="s">
        <v>471</v>
      </c>
      <c r="G771" s="385" t="s">
        <v>19</v>
      </c>
      <c r="H771" s="386">
        <v>0</v>
      </c>
      <c r="I771" s="386">
        <v>100</v>
      </c>
      <c r="J771" s="386">
        <v>0</v>
      </c>
      <c r="K771" s="386">
        <v>100</v>
      </c>
      <c r="L771" s="387" t="s">
        <v>472</v>
      </c>
    </row>
    <row r="772" spans="1:12" hidden="1">
      <c r="A772" s="385" t="s">
        <v>345</v>
      </c>
      <c r="B772" s="385" t="s">
        <v>490</v>
      </c>
      <c r="C772" s="385" t="s">
        <v>540</v>
      </c>
      <c r="D772" s="385" t="s">
        <v>380</v>
      </c>
      <c r="E772" s="385" t="s">
        <v>19</v>
      </c>
      <c r="F772" s="385" t="s">
        <v>471</v>
      </c>
      <c r="G772" s="385" t="s">
        <v>19</v>
      </c>
      <c r="H772" s="386">
        <v>0</v>
      </c>
      <c r="I772" s="386">
        <v>760</v>
      </c>
      <c r="J772" s="386">
        <v>0</v>
      </c>
      <c r="K772" s="386">
        <v>737.37</v>
      </c>
      <c r="L772" s="387" t="s">
        <v>472</v>
      </c>
    </row>
    <row r="773" spans="1:12" hidden="1">
      <c r="A773" s="385" t="s">
        <v>345</v>
      </c>
      <c r="B773" s="385" t="s">
        <v>490</v>
      </c>
      <c r="C773" s="385" t="s">
        <v>548</v>
      </c>
      <c r="D773" s="385" t="s">
        <v>380</v>
      </c>
      <c r="E773" s="385" t="s">
        <v>19</v>
      </c>
      <c r="F773" s="385" t="s">
        <v>479</v>
      </c>
      <c r="G773" s="385" t="s">
        <v>19</v>
      </c>
      <c r="H773" s="386">
        <v>0</v>
      </c>
      <c r="I773" s="386">
        <v>4500</v>
      </c>
      <c r="J773" s="386">
        <v>0</v>
      </c>
      <c r="K773" s="386">
        <v>2429.14</v>
      </c>
      <c r="L773" s="387" t="s">
        <v>480</v>
      </c>
    </row>
    <row r="774" spans="1:12" hidden="1">
      <c r="A774" s="385" t="s">
        <v>345</v>
      </c>
      <c r="B774" s="385" t="s">
        <v>490</v>
      </c>
      <c r="C774" s="385" t="s">
        <v>548</v>
      </c>
      <c r="D774" s="385" t="s">
        <v>380</v>
      </c>
      <c r="E774" s="385" t="s">
        <v>19</v>
      </c>
      <c r="F774" s="385" t="s">
        <v>471</v>
      </c>
      <c r="G774" s="385" t="s">
        <v>19</v>
      </c>
      <c r="H774" s="386">
        <v>0</v>
      </c>
      <c r="I774" s="386">
        <v>13000</v>
      </c>
      <c r="J774" s="386">
        <v>0</v>
      </c>
      <c r="K774" s="386">
        <v>6054.02</v>
      </c>
      <c r="L774" s="387" t="s">
        <v>472</v>
      </c>
    </row>
    <row r="775" spans="1:12" hidden="1">
      <c r="A775" s="385" t="s">
        <v>345</v>
      </c>
      <c r="B775" s="385" t="s">
        <v>490</v>
      </c>
      <c r="C775" s="385" t="s">
        <v>592</v>
      </c>
      <c r="D775" s="385" t="s">
        <v>380</v>
      </c>
      <c r="E775" s="385" t="s">
        <v>19</v>
      </c>
      <c r="F775" s="385" t="s">
        <v>482</v>
      </c>
      <c r="G775" s="385" t="s">
        <v>19</v>
      </c>
      <c r="H775" s="386">
        <v>0</v>
      </c>
      <c r="I775" s="386">
        <v>16394</v>
      </c>
      <c r="J775" s="386">
        <v>0</v>
      </c>
      <c r="K775" s="386">
        <v>14450</v>
      </c>
      <c r="L775" s="387" t="s">
        <v>483</v>
      </c>
    </row>
    <row r="776" spans="1:12" hidden="1">
      <c r="A776" s="385" t="s">
        <v>345</v>
      </c>
      <c r="B776" s="385" t="s">
        <v>490</v>
      </c>
      <c r="C776" s="385" t="s">
        <v>593</v>
      </c>
      <c r="D776" s="385" t="s">
        <v>380</v>
      </c>
      <c r="E776" s="385" t="s">
        <v>19</v>
      </c>
      <c r="F776" s="385" t="s">
        <v>482</v>
      </c>
      <c r="G776" s="385" t="s">
        <v>19</v>
      </c>
      <c r="H776" s="386">
        <v>0</v>
      </c>
      <c r="I776" s="386">
        <v>77033.38</v>
      </c>
      <c r="J776" s="386">
        <v>0</v>
      </c>
      <c r="K776" s="386">
        <v>64593.38</v>
      </c>
      <c r="L776" s="387" t="s">
        <v>483</v>
      </c>
    </row>
    <row r="777" spans="1:12" hidden="1">
      <c r="A777" s="385" t="s">
        <v>345</v>
      </c>
      <c r="B777" s="385" t="s">
        <v>490</v>
      </c>
      <c r="C777" s="385" t="s">
        <v>594</v>
      </c>
      <c r="D777" s="385" t="s">
        <v>380</v>
      </c>
      <c r="E777" s="385" t="s">
        <v>19</v>
      </c>
      <c r="F777" s="385" t="s">
        <v>479</v>
      </c>
      <c r="G777" s="385" t="s">
        <v>19</v>
      </c>
      <c r="H777" s="386">
        <v>0</v>
      </c>
      <c r="I777" s="386">
        <v>3068906</v>
      </c>
      <c r="J777" s="386">
        <v>0</v>
      </c>
      <c r="K777" s="386">
        <v>1883170.53</v>
      </c>
      <c r="L777" s="387" t="s">
        <v>480</v>
      </c>
    </row>
    <row r="778" spans="1:12" hidden="1">
      <c r="A778" s="385" t="s">
        <v>345</v>
      </c>
      <c r="B778" s="385" t="s">
        <v>490</v>
      </c>
      <c r="C778" s="385" t="s">
        <v>594</v>
      </c>
      <c r="D778" s="385" t="s">
        <v>380</v>
      </c>
      <c r="E778" s="385" t="s">
        <v>19</v>
      </c>
      <c r="F778" s="385" t="s">
        <v>471</v>
      </c>
      <c r="G778" s="385" t="s">
        <v>19</v>
      </c>
      <c r="H778" s="386">
        <v>0</v>
      </c>
      <c r="I778" s="386">
        <v>3365522</v>
      </c>
      <c r="J778" s="386">
        <v>0</v>
      </c>
      <c r="K778" s="386">
        <v>2040408.4</v>
      </c>
      <c r="L778" s="387" t="s">
        <v>472</v>
      </c>
    </row>
    <row r="779" spans="1:12" ht="25.5" hidden="1">
      <c r="A779" s="385" t="s">
        <v>345</v>
      </c>
      <c r="B779" s="385" t="s">
        <v>490</v>
      </c>
      <c r="C779" s="385" t="s">
        <v>594</v>
      </c>
      <c r="D779" s="385" t="s">
        <v>380</v>
      </c>
      <c r="E779" s="385" t="s">
        <v>19</v>
      </c>
      <c r="F779" s="385" t="s">
        <v>488</v>
      </c>
      <c r="G779" s="385" t="s">
        <v>19</v>
      </c>
      <c r="H779" s="386">
        <v>0</v>
      </c>
      <c r="I779" s="386">
        <v>250163</v>
      </c>
      <c r="J779" s="386">
        <v>0</v>
      </c>
      <c r="K779" s="386">
        <v>0</v>
      </c>
      <c r="L779" s="387" t="s">
        <v>489</v>
      </c>
    </row>
    <row r="780" spans="1:12" hidden="1">
      <c r="A780" s="385" t="s">
        <v>345</v>
      </c>
      <c r="B780" s="385" t="s">
        <v>490</v>
      </c>
      <c r="C780" s="385" t="s">
        <v>595</v>
      </c>
      <c r="D780" s="385" t="s">
        <v>380</v>
      </c>
      <c r="E780" s="385" t="s">
        <v>19</v>
      </c>
      <c r="F780" s="385" t="s">
        <v>471</v>
      </c>
      <c r="G780" s="385" t="s">
        <v>19</v>
      </c>
      <c r="H780" s="386">
        <v>0</v>
      </c>
      <c r="I780" s="386">
        <v>237840</v>
      </c>
      <c r="J780" s="386">
        <v>0</v>
      </c>
      <c r="K780" s="386">
        <v>233253.6</v>
      </c>
      <c r="L780" s="387" t="s">
        <v>472</v>
      </c>
    </row>
    <row r="781" spans="1:12" hidden="1">
      <c r="A781" s="385" t="s">
        <v>345</v>
      </c>
      <c r="B781" s="385" t="s">
        <v>490</v>
      </c>
      <c r="C781" s="385" t="s">
        <v>595</v>
      </c>
      <c r="D781" s="385" t="s">
        <v>380</v>
      </c>
      <c r="E781" s="385" t="s">
        <v>19</v>
      </c>
      <c r="F781" s="385" t="s">
        <v>479</v>
      </c>
      <c r="G781" s="385" t="s">
        <v>19</v>
      </c>
      <c r="H781" s="386">
        <v>0</v>
      </c>
      <c r="I781" s="386">
        <v>248000</v>
      </c>
      <c r="J781" s="386">
        <v>0</v>
      </c>
      <c r="K781" s="386">
        <v>236804.42</v>
      </c>
      <c r="L781" s="387" t="s">
        <v>480</v>
      </c>
    </row>
    <row r="782" spans="1:12" hidden="1">
      <c r="A782" s="385" t="s">
        <v>345</v>
      </c>
      <c r="B782" s="385" t="s">
        <v>490</v>
      </c>
      <c r="C782" s="385" t="s">
        <v>596</v>
      </c>
      <c r="D782" s="385" t="s">
        <v>380</v>
      </c>
      <c r="E782" s="385" t="s">
        <v>19</v>
      </c>
      <c r="F782" s="385" t="s">
        <v>482</v>
      </c>
      <c r="G782" s="385" t="s">
        <v>19</v>
      </c>
      <c r="H782" s="386">
        <v>0</v>
      </c>
      <c r="I782" s="386">
        <v>18103</v>
      </c>
      <c r="J782" s="386">
        <v>0</v>
      </c>
      <c r="K782" s="386">
        <v>15348</v>
      </c>
      <c r="L782" s="387" t="s">
        <v>483</v>
      </c>
    </row>
    <row r="783" spans="1:12" hidden="1">
      <c r="A783" s="385" t="s">
        <v>345</v>
      </c>
      <c r="B783" s="385" t="s">
        <v>490</v>
      </c>
      <c r="C783" s="385" t="s">
        <v>597</v>
      </c>
      <c r="D783" s="385" t="s">
        <v>380</v>
      </c>
      <c r="E783" s="385" t="s">
        <v>19</v>
      </c>
      <c r="F783" s="385" t="s">
        <v>482</v>
      </c>
      <c r="G783" s="385" t="s">
        <v>19</v>
      </c>
      <c r="H783" s="386">
        <v>0</v>
      </c>
      <c r="I783" s="386">
        <v>5643</v>
      </c>
      <c r="J783" s="386">
        <v>0</v>
      </c>
      <c r="K783" s="386">
        <v>5045</v>
      </c>
      <c r="L783" s="387" t="s">
        <v>483</v>
      </c>
    </row>
    <row r="784" spans="1:12" ht="25.5" hidden="1">
      <c r="A784" s="385" t="s">
        <v>345</v>
      </c>
      <c r="B784" s="385" t="s">
        <v>490</v>
      </c>
      <c r="C784" s="385" t="s">
        <v>541</v>
      </c>
      <c r="D784" s="385" t="s">
        <v>380</v>
      </c>
      <c r="E784" s="385" t="s">
        <v>19</v>
      </c>
      <c r="F784" s="385" t="s">
        <v>684</v>
      </c>
      <c r="G784" s="385" t="s">
        <v>19</v>
      </c>
      <c r="H784" s="386">
        <v>0</v>
      </c>
      <c r="I784" s="386">
        <v>1070000</v>
      </c>
      <c r="J784" s="386">
        <v>0</v>
      </c>
      <c r="K784" s="386">
        <v>961771.94</v>
      </c>
      <c r="L784" s="387" t="s">
        <v>685</v>
      </c>
    </row>
    <row r="785" spans="1:12" hidden="1">
      <c r="A785" s="385" t="s">
        <v>345</v>
      </c>
      <c r="B785" s="385" t="s">
        <v>490</v>
      </c>
      <c r="C785" s="385" t="s">
        <v>542</v>
      </c>
      <c r="D785" s="385" t="s">
        <v>380</v>
      </c>
      <c r="E785" s="385" t="s">
        <v>19</v>
      </c>
      <c r="F785" s="385" t="s">
        <v>471</v>
      </c>
      <c r="G785" s="385" t="s">
        <v>19</v>
      </c>
      <c r="H785" s="386">
        <v>0</v>
      </c>
      <c r="I785" s="386">
        <v>11847</v>
      </c>
      <c r="J785" s="386">
        <v>0</v>
      </c>
      <c r="K785" s="386">
        <v>0</v>
      </c>
      <c r="L785" s="387" t="s">
        <v>472</v>
      </c>
    </row>
    <row r="786" spans="1:12" ht="25.5" hidden="1">
      <c r="A786" s="385" t="s">
        <v>345</v>
      </c>
      <c r="B786" s="385" t="s">
        <v>491</v>
      </c>
      <c r="C786" s="385" t="s">
        <v>521</v>
      </c>
      <c r="D786" s="385" t="s">
        <v>380</v>
      </c>
      <c r="E786" s="385" t="s">
        <v>19</v>
      </c>
      <c r="F786" s="385" t="s">
        <v>469</v>
      </c>
      <c r="G786" s="385" t="s">
        <v>19</v>
      </c>
      <c r="H786" s="386">
        <v>0</v>
      </c>
      <c r="I786" s="386">
        <v>3732</v>
      </c>
      <c r="J786" s="386">
        <v>0</v>
      </c>
      <c r="K786" s="386">
        <v>1444</v>
      </c>
      <c r="L786" s="387" t="s">
        <v>470</v>
      </c>
    </row>
    <row r="787" spans="1:12" ht="25.5" hidden="1">
      <c r="A787" s="385" t="s">
        <v>345</v>
      </c>
      <c r="B787" s="385" t="s">
        <v>491</v>
      </c>
      <c r="C787" s="385" t="s">
        <v>523</v>
      </c>
      <c r="D787" s="385" t="s">
        <v>380</v>
      </c>
      <c r="E787" s="385" t="s">
        <v>19</v>
      </c>
      <c r="F787" s="385" t="s">
        <v>488</v>
      </c>
      <c r="G787" s="385" t="s">
        <v>19</v>
      </c>
      <c r="H787" s="386">
        <v>0</v>
      </c>
      <c r="I787" s="386">
        <v>16654</v>
      </c>
      <c r="J787" s="386">
        <v>0</v>
      </c>
      <c r="K787" s="386">
        <v>0</v>
      </c>
      <c r="L787" s="387" t="s">
        <v>489</v>
      </c>
    </row>
    <row r="788" spans="1:12" ht="25.5" hidden="1">
      <c r="A788" s="385" t="s">
        <v>345</v>
      </c>
      <c r="B788" s="385" t="s">
        <v>491</v>
      </c>
      <c r="C788" s="385" t="s">
        <v>523</v>
      </c>
      <c r="D788" s="385" t="s">
        <v>380</v>
      </c>
      <c r="E788" s="385" t="s">
        <v>19</v>
      </c>
      <c r="F788" s="385" t="s">
        <v>469</v>
      </c>
      <c r="G788" s="385" t="s">
        <v>19</v>
      </c>
      <c r="H788" s="386">
        <v>0</v>
      </c>
      <c r="I788" s="386">
        <v>411424.34</v>
      </c>
      <c r="J788" s="386">
        <v>0</v>
      </c>
      <c r="K788" s="386">
        <v>250146.48</v>
      </c>
      <c r="L788" s="387" t="s">
        <v>470</v>
      </c>
    </row>
    <row r="789" spans="1:12" ht="25.5" hidden="1">
      <c r="A789" s="385" t="s">
        <v>345</v>
      </c>
      <c r="B789" s="385" t="s">
        <v>491</v>
      </c>
      <c r="C789" s="385" t="s">
        <v>524</v>
      </c>
      <c r="D789" s="385" t="s">
        <v>380</v>
      </c>
      <c r="E789" s="385" t="s">
        <v>19</v>
      </c>
      <c r="F789" s="385" t="s">
        <v>469</v>
      </c>
      <c r="G789" s="385" t="s">
        <v>19</v>
      </c>
      <c r="H789" s="386">
        <v>0</v>
      </c>
      <c r="I789" s="386">
        <v>28844.66</v>
      </c>
      <c r="J789" s="386">
        <v>0</v>
      </c>
      <c r="K789" s="386">
        <v>28844.66</v>
      </c>
      <c r="L789" s="387" t="s">
        <v>470</v>
      </c>
    </row>
    <row r="790" spans="1:12" ht="25.5" hidden="1">
      <c r="A790" s="385" t="s">
        <v>345</v>
      </c>
      <c r="B790" s="385" t="s">
        <v>491</v>
      </c>
      <c r="C790" s="385" t="s">
        <v>525</v>
      </c>
      <c r="D790" s="385" t="s">
        <v>380</v>
      </c>
      <c r="E790" s="385" t="s">
        <v>19</v>
      </c>
      <c r="F790" s="385" t="s">
        <v>488</v>
      </c>
      <c r="G790" s="385" t="s">
        <v>19</v>
      </c>
      <c r="H790" s="386">
        <v>0</v>
      </c>
      <c r="I790" s="386">
        <v>837</v>
      </c>
      <c r="J790" s="386">
        <v>0</v>
      </c>
      <c r="K790" s="386">
        <v>0</v>
      </c>
      <c r="L790" s="387" t="s">
        <v>489</v>
      </c>
    </row>
    <row r="791" spans="1:12" ht="25.5" hidden="1">
      <c r="A791" s="385" t="s">
        <v>345</v>
      </c>
      <c r="B791" s="385" t="s">
        <v>491</v>
      </c>
      <c r="C791" s="385" t="s">
        <v>525</v>
      </c>
      <c r="D791" s="385" t="s">
        <v>380</v>
      </c>
      <c r="E791" s="385" t="s">
        <v>19</v>
      </c>
      <c r="F791" s="385" t="s">
        <v>469</v>
      </c>
      <c r="G791" s="385" t="s">
        <v>19</v>
      </c>
      <c r="H791" s="386">
        <v>0</v>
      </c>
      <c r="I791" s="386">
        <v>438356</v>
      </c>
      <c r="J791" s="386">
        <v>0</v>
      </c>
      <c r="K791" s="386">
        <v>252212.89</v>
      </c>
      <c r="L791" s="387" t="s">
        <v>470</v>
      </c>
    </row>
    <row r="792" spans="1:12" ht="25.5" hidden="1">
      <c r="A792" s="385" t="s">
        <v>345</v>
      </c>
      <c r="B792" s="385" t="s">
        <v>491</v>
      </c>
      <c r="C792" s="385" t="s">
        <v>526</v>
      </c>
      <c r="D792" s="385" t="s">
        <v>380</v>
      </c>
      <c r="E792" s="385" t="s">
        <v>19</v>
      </c>
      <c r="F792" s="385" t="s">
        <v>488</v>
      </c>
      <c r="G792" s="385" t="s">
        <v>19</v>
      </c>
      <c r="H792" s="386">
        <v>0</v>
      </c>
      <c r="I792" s="386">
        <v>120</v>
      </c>
      <c r="J792" s="386">
        <v>0</v>
      </c>
      <c r="K792" s="386">
        <v>0</v>
      </c>
      <c r="L792" s="387" t="s">
        <v>489</v>
      </c>
    </row>
    <row r="793" spans="1:12" ht="25.5" hidden="1">
      <c r="A793" s="385" t="s">
        <v>345</v>
      </c>
      <c r="B793" s="385" t="s">
        <v>491</v>
      </c>
      <c r="C793" s="385" t="s">
        <v>526</v>
      </c>
      <c r="D793" s="385" t="s">
        <v>380</v>
      </c>
      <c r="E793" s="385" t="s">
        <v>19</v>
      </c>
      <c r="F793" s="385" t="s">
        <v>469</v>
      </c>
      <c r="G793" s="385" t="s">
        <v>19</v>
      </c>
      <c r="H793" s="386">
        <v>0</v>
      </c>
      <c r="I793" s="386">
        <v>39510</v>
      </c>
      <c r="J793" s="386">
        <v>0</v>
      </c>
      <c r="K793" s="386">
        <v>30188.15</v>
      </c>
      <c r="L793" s="387" t="s">
        <v>470</v>
      </c>
    </row>
    <row r="794" spans="1:12" ht="25.5" hidden="1">
      <c r="A794" s="385" t="s">
        <v>345</v>
      </c>
      <c r="B794" s="385" t="s">
        <v>491</v>
      </c>
      <c r="C794" s="385" t="s">
        <v>528</v>
      </c>
      <c r="D794" s="385" t="s">
        <v>380</v>
      </c>
      <c r="E794" s="385" t="s">
        <v>19</v>
      </c>
      <c r="F794" s="385" t="s">
        <v>469</v>
      </c>
      <c r="G794" s="385" t="s">
        <v>19</v>
      </c>
      <c r="H794" s="386">
        <v>0</v>
      </c>
      <c r="I794" s="386">
        <v>27467</v>
      </c>
      <c r="J794" s="386">
        <v>0</v>
      </c>
      <c r="K794" s="386">
        <v>15008.3</v>
      </c>
      <c r="L794" s="387" t="s">
        <v>470</v>
      </c>
    </row>
    <row r="795" spans="1:12" ht="25.5" hidden="1">
      <c r="A795" s="385" t="s">
        <v>345</v>
      </c>
      <c r="B795" s="385" t="s">
        <v>491</v>
      </c>
      <c r="C795" s="385" t="s">
        <v>598</v>
      </c>
      <c r="D795" s="385" t="s">
        <v>380</v>
      </c>
      <c r="E795" s="385" t="s">
        <v>19</v>
      </c>
      <c r="F795" s="385" t="s">
        <v>469</v>
      </c>
      <c r="G795" s="385" t="s">
        <v>19</v>
      </c>
      <c r="H795" s="386">
        <v>0</v>
      </c>
      <c r="I795" s="386">
        <v>87722.7</v>
      </c>
      <c r="J795" s="386">
        <v>0</v>
      </c>
      <c r="K795" s="386">
        <v>21396.2</v>
      </c>
      <c r="L795" s="387" t="s">
        <v>470</v>
      </c>
    </row>
    <row r="796" spans="1:12" hidden="1">
      <c r="A796" s="385" t="s">
        <v>345</v>
      </c>
      <c r="B796" s="385" t="s">
        <v>491</v>
      </c>
      <c r="C796" s="385" t="s">
        <v>530</v>
      </c>
      <c r="D796" s="385" t="s">
        <v>380</v>
      </c>
      <c r="E796" s="385" t="s">
        <v>19</v>
      </c>
      <c r="F796" s="385" t="s">
        <v>386</v>
      </c>
      <c r="G796" s="385" t="s">
        <v>19</v>
      </c>
      <c r="H796" s="386">
        <v>0</v>
      </c>
      <c r="I796" s="386">
        <v>0</v>
      </c>
      <c r="J796" s="386">
        <v>0</v>
      </c>
      <c r="K796" s="386">
        <v>0</v>
      </c>
      <c r="L796" s="387" t="s">
        <v>387</v>
      </c>
    </row>
    <row r="797" spans="1:12" ht="25.5" hidden="1">
      <c r="A797" s="385" t="s">
        <v>345</v>
      </c>
      <c r="B797" s="385" t="s">
        <v>491</v>
      </c>
      <c r="C797" s="385" t="s">
        <v>530</v>
      </c>
      <c r="D797" s="385" t="s">
        <v>380</v>
      </c>
      <c r="E797" s="385" t="s">
        <v>19</v>
      </c>
      <c r="F797" s="385" t="s">
        <v>469</v>
      </c>
      <c r="G797" s="385" t="s">
        <v>19</v>
      </c>
      <c r="H797" s="386">
        <v>0</v>
      </c>
      <c r="I797" s="386">
        <v>69990</v>
      </c>
      <c r="J797" s="386">
        <v>0</v>
      </c>
      <c r="K797" s="386">
        <v>43834.39</v>
      </c>
      <c r="L797" s="387" t="s">
        <v>470</v>
      </c>
    </row>
    <row r="798" spans="1:12" ht="25.5" hidden="1">
      <c r="A798" s="385" t="s">
        <v>345</v>
      </c>
      <c r="B798" s="385" t="s">
        <v>491</v>
      </c>
      <c r="C798" s="385" t="s">
        <v>416</v>
      </c>
      <c r="D798" s="385" t="s">
        <v>380</v>
      </c>
      <c r="E798" s="385" t="s">
        <v>19</v>
      </c>
      <c r="F798" s="385" t="s">
        <v>469</v>
      </c>
      <c r="G798" s="385" t="s">
        <v>19</v>
      </c>
      <c r="H798" s="386">
        <v>0</v>
      </c>
      <c r="I798" s="386">
        <v>3000</v>
      </c>
      <c r="J798" s="386">
        <v>0</v>
      </c>
      <c r="K798" s="386">
        <v>0</v>
      </c>
      <c r="L798" s="387" t="s">
        <v>470</v>
      </c>
    </row>
    <row r="799" spans="1:12" ht="25.5" hidden="1">
      <c r="A799" s="385" t="s">
        <v>345</v>
      </c>
      <c r="B799" s="385" t="s">
        <v>491</v>
      </c>
      <c r="C799" s="385" t="s">
        <v>416</v>
      </c>
      <c r="D799" s="385" t="s">
        <v>380</v>
      </c>
      <c r="E799" s="385" t="s">
        <v>19</v>
      </c>
      <c r="F799" s="385" t="s">
        <v>389</v>
      </c>
      <c r="G799" s="385" t="s">
        <v>19</v>
      </c>
      <c r="H799" s="386">
        <v>0</v>
      </c>
      <c r="I799" s="386">
        <v>29028</v>
      </c>
      <c r="J799" s="386">
        <v>0</v>
      </c>
      <c r="K799" s="386">
        <v>28597.5</v>
      </c>
      <c r="L799" s="387" t="s">
        <v>390</v>
      </c>
    </row>
    <row r="800" spans="1:12" ht="25.5" hidden="1">
      <c r="A800" s="385" t="s">
        <v>345</v>
      </c>
      <c r="B800" s="385" t="s">
        <v>491</v>
      </c>
      <c r="C800" s="385" t="s">
        <v>531</v>
      </c>
      <c r="D800" s="385" t="s">
        <v>380</v>
      </c>
      <c r="E800" s="385" t="s">
        <v>19</v>
      </c>
      <c r="F800" s="385" t="s">
        <v>469</v>
      </c>
      <c r="G800" s="385" t="s">
        <v>19</v>
      </c>
      <c r="H800" s="386">
        <v>0</v>
      </c>
      <c r="I800" s="386">
        <v>1800</v>
      </c>
      <c r="J800" s="386">
        <v>0</v>
      </c>
      <c r="K800" s="386">
        <v>615</v>
      </c>
      <c r="L800" s="387" t="s">
        <v>470</v>
      </c>
    </row>
    <row r="801" spans="1:12" ht="25.5" hidden="1">
      <c r="A801" s="385" t="s">
        <v>345</v>
      </c>
      <c r="B801" s="385" t="s">
        <v>491</v>
      </c>
      <c r="C801" s="385" t="s">
        <v>510</v>
      </c>
      <c r="D801" s="385" t="s">
        <v>380</v>
      </c>
      <c r="E801" s="385" t="s">
        <v>19</v>
      </c>
      <c r="F801" s="385" t="s">
        <v>469</v>
      </c>
      <c r="G801" s="385" t="s">
        <v>19</v>
      </c>
      <c r="H801" s="386">
        <v>0</v>
      </c>
      <c r="I801" s="386">
        <v>42000</v>
      </c>
      <c r="J801" s="386">
        <v>0</v>
      </c>
      <c r="K801" s="386">
        <v>33182.74</v>
      </c>
      <c r="L801" s="387" t="s">
        <v>470</v>
      </c>
    </row>
    <row r="802" spans="1:12" ht="25.5" hidden="1">
      <c r="A802" s="385" t="s">
        <v>345</v>
      </c>
      <c r="B802" s="385" t="s">
        <v>491</v>
      </c>
      <c r="C802" s="385" t="s">
        <v>532</v>
      </c>
      <c r="D802" s="385" t="s">
        <v>380</v>
      </c>
      <c r="E802" s="385" t="s">
        <v>19</v>
      </c>
      <c r="F802" s="385" t="s">
        <v>469</v>
      </c>
      <c r="G802" s="385" t="s">
        <v>19</v>
      </c>
      <c r="H802" s="386">
        <v>0</v>
      </c>
      <c r="I802" s="386">
        <v>3420</v>
      </c>
      <c r="J802" s="386">
        <v>0</v>
      </c>
      <c r="K802" s="386">
        <v>2190.62</v>
      </c>
      <c r="L802" s="387" t="s">
        <v>470</v>
      </c>
    </row>
    <row r="803" spans="1:12" ht="25.5" hidden="1">
      <c r="A803" s="385" t="s">
        <v>345</v>
      </c>
      <c r="B803" s="385" t="s">
        <v>491</v>
      </c>
      <c r="C803" s="385" t="s">
        <v>559</v>
      </c>
      <c r="D803" s="385" t="s">
        <v>380</v>
      </c>
      <c r="E803" s="385" t="s">
        <v>19</v>
      </c>
      <c r="F803" s="385" t="s">
        <v>389</v>
      </c>
      <c r="G803" s="385" t="s">
        <v>19</v>
      </c>
      <c r="H803" s="386">
        <v>0</v>
      </c>
      <c r="I803" s="386">
        <v>0</v>
      </c>
      <c r="J803" s="386">
        <v>0</v>
      </c>
      <c r="K803" s="386">
        <v>0</v>
      </c>
      <c r="L803" s="387" t="s">
        <v>390</v>
      </c>
    </row>
    <row r="804" spans="1:12" ht="25.5" hidden="1">
      <c r="A804" s="385" t="s">
        <v>345</v>
      </c>
      <c r="B804" s="385" t="s">
        <v>491</v>
      </c>
      <c r="C804" s="385" t="s">
        <v>533</v>
      </c>
      <c r="D804" s="385" t="s">
        <v>380</v>
      </c>
      <c r="E804" s="385" t="s">
        <v>19</v>
      </c>
      <c r="F804" s="385" t="s">
        <v>469</v>
      </c>
      <c r="G804" s="385" t="s">
        <v>19</v>
      </c>
      <c r="H804" s="386">
        <v>0</v>
      </c>
      <c r="I804" s="386">
        <v>1900</v>
      </c>
      <c r="J804" s="386">
        <v>0</v>
      </c>
      <c r="K804" s="386">
        <v>835.2</v>
      </c>
      <c r="L804" s="387" t="s">
        <v>470</v>
      </c>
    </row>
    <row r="805" spans="1:12" ht="25.5" hidden="1">
      <c r="A805" s="385" t="s">
        <v>345</v>
      </c>
      <c r="B805" s="385" t="s">
        <v>491</v>
      </c>
      <c r="C805" s="385" t="s">
        <v>535</v>
      </c>
      <c r="D805" s="385" t="s">
        <v>380</v>
      </c>
      <c r="E805" s="385" t="s">
        <v>19</v>
      </c>
      <c r="F805" s="385" t="s">
        <v>469</v>
      </c>
      <c r="G805" s="385" t="s">
        <v>19</v>
      </c>
      <c r="H805" s="386">
        <v>0</v>
      </c>
      <c r="I805" s="386">
        <v>153996.29999999999</v>
      </c>
      <c r="J805" s="386">
        <v>0</v>
      </c>
      <c r="K805" s="386">
        <v>115497.23</v>
      </c>
      <c r="L805" s="387" t="s">
        <v>470</v>
      </c>
    </row>
    <row r="806" spans="1:12" hidden="1">
      <c r="A806" s="385" t="s">
        <v>345</v>
      </c>
      <c r="B806" s="385" t="s">
        <v>491</v>
      </c>
      <c r="C806" s="385" t="s">
        <v>538</v>
      </c>
      <c r="D806" s="385" t="s">
        <v>380</v>
      </c>
      <c r="E806" s="385" t="s">
        <v>19</v>
      </c>
      <c r="F806" s="385" t="s">
        <v>386</v>
      </c>
      <c r="G806" s="385" t="s">
        <v>19</v>
      </c>
      <c r="H806" s="386">
        <v>0</v>
      </c>
      <c r="I806" s="386">
        <v>3500</v>
      </c>
      <c r="J806" s="386">
        <v>0</v>
      </c>
      <c r="K806" s="386">
        <v>0</v>
      </c>
      <c r="L806" s="387" t="s">
        <v>387</v>
      </c>
    </row>
    <row r="807" spans="1:12" ht="25.5" hidden="1">
      <c r="A807" s="385" t="s">
        <v>345</v>
      </c>
      <c r="B807" s="385" t="s">
        <v>491</v>
      </c>
      <c r="C807" s="385" t="s">
        <v>540</v>
      </c>
      <c r="D807" s="385" t="s">
        <v>380</v>
      </c>
      <c r="E807" s="385" t="s">
        <v>19</v>
      </c>
      <c r="F807" s="385" t="s">
        <v>469</v>
      </c>
      <c r="G807" s="385" t="s">
        <v>19</v>
      </c>
      <c r="H807" s="386">
        <v>0</v>
      </c>
      <c r="I807" s="386">
        <v>2000</v>
      </c>
      <c r="J807" s="386">
        <v>0</v>
      </c>
      <c r="K807" s="386">
        <v>386.1</v>
      </c>
      <c r="L807" s="387" t="s">
        <v>470</v>
      </c>
    </row>
    <row r="808" spans="1:12" ht="25.5" hidden="1">
      <c r="A808" s="385" t="s">
        <v>345</v>
      </c>
      <c r="B808" s="385" t="s">
        <v>491</v>
      </c>
      <c r="C808" s="385" t="s">
        <v>548</v>
      </c>
      <c r="D808" s="385" t="s">
        <v>380</v>
      </c>
      <c r="E808" s="385" t="s">
        <v>19</v>
      </c>
      <c r="F808" s="385" t="s">
        <v>469</v>
      </c>
      <c r="G808" s="385" t="s">
        <v>19</v>
      </c>
      <c r="H808" s="386">
        <v>0</v>
      </c>
      <c r="I808" s="386">
        <v>4000</v>
      </c>
      <c r="J808" s="386">
        <v>0</v>
      </c>
      <c r="K808" s="386">
        <v>3308.35</v>
      </c>
      <c r="L808" s="387" t="s">
        <v>470</v>
      </c>
    </row>
    <row r="809" spans="1:12" ht="25.5" hidden="1">
      <c r="A809" s="385" t="s">
        <v>345</v>
      </c>
      <c r="B809" s="385" t="s">
        <v>491</v>
      </c>
      <c r="C809" s="385" t="s">
        <v>594</v>
      </c>
      <c r="D809" s="385" t="s">
        <v>380</v>
      </c>
      <c r="E809" s="385" t="s">
        <v>19</v>
      </c>
      <c r="F809" s="385" t="s">
        <v>488</v>
      </c>
      <c r="G809" s="385" t="s">
        <v>19</v>
      </c>
      <c r="H809" s="386">
        <v>0</v>
      </c>
      <c r="I809" s="386">
        <v>5222.58</v>
      </c>
      <c r="J809" s="386">
        <v>0</v>
      </c>
      <c r="K809" s="386">
        <v>0</v>
      </c>
      <c r="L809" s="387" t="s">
        <v>489</v>
      </c>
    </row>
    <row r="810" spans="1:12" ht="25.5" hidden="1">
      <c r="A810" s="385" t="s">
        <v>345</v>
      </c>
      <c r="B810" s="385" t="s">
        <v>491</v>
      </c>
      <c r="C810" s="385" t="s">
        <v>594</v>
      </c>
      <c r="D810" s="385" t="s">
        <v>380</v>
      </c>
      <c r="E810" s="385" t="s">
        <v>19</v>
      </c>
      <c r="F810" s="385" t="s">
        <v>469</v>
      </c>
      <c r="G810" s="385" t="s">
        <v>19</v>
      </c>
      <c r="H810" s="386">
        <v>0</v>
      </c>
      <c r="I810" s="386">
        <v>2011343.98</v>
      </c>
      <c r="J810" s="386">
        <v>0</v>
      </c>
      <c r="K810" s="386">
        <v>1256263.04</v>
      </c>
      <c r="L810" s="387" t="s">
        <v>470</v>
      </c>
    </row>
    <row r="811" spans="1:12" ht="25.5" hidden="1">
      <c r="A811" s="385" t="s">
        <v>345</v>
      </c>
      <c r="B811" s="385" t="s">
        <v>491</v>
      </c>
      <c r="C811" s="385" t="s">
        <v>595</v>
      </c>
      <c r="D811" s="385" t="s">
        <v>380</v>
      </c>
      <c r="E811" s="385" t="s">
        <v>19</v>
      </c>
      <c r="F811" s="385" t="s">
        <v>469</v>
      </c>
      <c r="G811" s="385" t="s">
        <v>19</v>
      </c>
      <c r="H811" s="386">
        <v>0</v>
      </c>
      <c r="I811" s="386">
        <v>148385.44</v>
      </c>
      <c r="J811" s="386">
        <v>0</v>
      </c>
      <c r="K811" s="386">
        <v>148385.44</v>
      </c>
      <c r="L811" s="387" t="s">
        <v>470</v>
      </c>
    </row>
    <row r="812" spans="1:12" ht="25.5" hidden="1">
      <c r="A812" s="385" t="s">
        <v>345</v>
      </c>
      <c r="B812" s="385" t="s">
        <v>272</v>
      </c>
      <c r="C812" s="385" t="s">
        <v>521</v>
      </c>
      <c r="D812" s="385" t="s">
        <v>380</v>
      </c>
      <c r="E812" s="385" t="s">
        <v>19</v>
      </c>
      <c r="F812" s="385" t="s">
        <v>477</v>
      </c>
      <c r="G812" s="385" t="s">
        <v>19</v>
      </c>
      <c r="H812" s="386">
        <v>0</v>
      </c>
      <c r="I812" s="386">
        <v>2874.2</v>
      </c>
      <c r="J812" s="386">
        <v>0</v>
      </c>
      <c r="K812" s="386">
        <v>2874.2</v>
      </c>
      <c r="L812" s="387" t="s">
        <v>478</v>
      </c>
    </row>
    <row r="813" spans="1:12" ht="25.5" hidden="1">
      <c r="A813" s="385" t="s">
        <v>345</v>
      </c>
      <c r="B813" s="385" t="s">
        <v>272</v>
      </c>
      <c r="C813" s="385" t="s">
        <v>521</v>
      </c>
      <c r="D813" s="385" t="s">
        <v>380</v>
      </c>
      <c r="E813" s="385" t="s">
        <v>19</v>
      </c>
      <c r="F813" s="385" t="s">
        <v>475</v>
      </c>
      <c r="G813" s="385" t="s">
        <v>19</v>
      </c>
      <c r="H813" s="386">
        <v>0</v>
      </c>
      <c r="I813" s="386">
        <v>1500</v>
      </c>
      <c r="J813" s="386">
        <v>0</v>
      </c>
      <c r="K813" s="386">
        <v>0</v>
      </c>
      <c r="L813" s="387" t="s">
        <v>476</v>
      </c>
    </row>
    <row r="814" spans="1:12" ht="25.5" hidden="1">
      <c r="A814" s="385" t="s">
        <v>345</v>
      </c>
      <c r="B814" s="385" t="s">
        <v>272</v>
      </c>
      <c r="C814" s="385" t="s">
        <v>523</v>
      </c>
      <c r="D814" s="385" t="s">
        <v>380</v>
      </c>
      <c r="E814" s="385" t="s">
        <v>19</v>
      </c>
      <c r="F814" s="385" t="s">
        <v>475</v>
      </c>
      <c r="G814" s="385" t="s">
        <v>19</v>
      </c>
      <c r="H814" s="386">
        <v>0</v>
      </c>
      <c r="I814" s="386">
        <v>169743</v>
      </c>
      <c r="J814" s="386">
        <v>0</v>
      </c>
      <c r="K814" s="386">
        <v>102428.1</v>
      </c>
      <c r="L814" s="387" t="s">
        <v>476</v>
      </c>
    </row>
    <row r="815" spans="1:12" ht="25.5" hidden="1">
      <c r="A815" s="385" t="s">
        <v>345</v>
      </c>
      <c r="B815" s="385" t="s">
        <v>272</v>
      </c>
      <c r="C815" s="385" t="s">
        <v>524</v>
      </c>
      <c r="D815" s="385" t="s">
        <v>380</v>
      </c>
      <c r="E815" s="385" t="s">
        <v>19</v>
      </c>
      <c r="F815" s="385" t="s">
        <v>475</v>
      </c>
      <c r="G815" s="385" t="s">
        <v>19</v>
      </c>
      <c r="H815" s="386">
        <v>0</v>
      </c>
      <c r="I815" s="386">
        <v>12046</v>
      </c>
      <c r="J815" s="386">
        <v>0</v>
      </c>
      <c r="K815" s="386">
        <v>11877.62</v>
      </c>
      <c r="L815" s="387" t="s">
        <v>476</v>
      </c>
    </row>
    <row r="816" spans="1:12" ht="25.5" hidden="1">
      <c r="A816" s="385" t="s">
        <v>345</v>
      </c>
      <c r="B816" s="385" t="s">
        <v>272</v>
      </c>
      <c r="C816" s="385" t="s">
        <v>525</v>
      </c>
      <c r="D816" s="385" t="s">
        <v>380</v>
      </c>
      <c r="E816" s="385" t="s">
        <v>19</v>
      </c>
      <c r="F816" s="385" t="s">
        <v>488</v>
      </c>
      <c r="G816" s="385" t="s">
        <v>19</v>
      </c>
      <c r="H816" s="386">
        <v>0</v>
      </c>
      <c r="I816" s="386">
        <v>1095</v>
      </c>
      <c r="J816" s="386">
        <v>0</v>
      </c>
      <c r="K816" s="386">
        <v>0</v>
      </c>
      <c r="L816" s="387" t="s">
        <v>489</v>
      </c>
    </row>
    <row r="817" spans="1:12" ht="25.5" hidden="1">
      <c r="A817" s="385" t="s">
        <v>345</v>
      </c>
      <c r="B817" s="385" t="s">
        <v>272</v>
      </c>
      <c r="C817" s="385" t="s">
        <v>525</v>
      </c>
      <c r="D817" s="385" t="s">
        <v>380</v>
      </c>
      <c r="E817" s="385" t="s">
        <v>19</v>
      </c>
      <c r="F817" s="385" t="s">
        <v>475</v>
      </c>
      <c r="G817" s="385" t="s">
        <v>19</v>
      </c>
      <c r="H817" s="386">
        <v>0</v>
      </c>
      <c r="I817" s="386">
        <v>241912</v>
      </c>
      <c r="J817" s="386">
        <v>0</v>
      </c>
      <c r="K817" s="386">
        <v>140396.38</v>
      </c>
      <c r="L817" s="387" t="s">
        <v>476</v>
      </c>
    </row>
    <row r="818" spans="1:12" ht="25.5" hidden="1">
      <c r="A818" s="385" t="s">
        <v>345</v>
      </c>
      <c r="B818" s="385" t="s">
        <v>272</v>
      </c>
      <c r="C818" s="385" t="s">
        <v>525</v>
      </c>
      <c r="D818" s="385" t="s">
        <v>380</v>
      </c>
      <c r="E818" s="385" t="s">
        <v>19</v>
      </c>
      <c r="F818" s="385" t="s">
        <v>477</v>
      </c>
      <c r="G818" s="385" t="s">
        <v>19</v>
      </c>
      <c r="H818" s="386">
        <v>0</v>
      </c>
      <c r="I818" s="386">
        <v>331182</v>
      </c>
      <c r="J818" s="386">
        <v>0</v>
      </c>
      <c r="K818" s="386">
        <v>185827.71</v>
      </c>
      <c r="L818" s="387" t="s">
        <v>478</v>
      </c>
    </row>
    <row r="819" spans="1:12" ht="25.5" hidden="1">
      <c r="A819" s="385" t="s">
        <v>345</v>
      </c>
      <c r="B819" s="385" t="s">
        <v>272</v>
      </c>
      <c r="C819" s="385" t="s">
        <v>526</v>
      </c>
      <c r="D819" s="385" t="s">
        <v>380</v>
      </c>
      <c r="E819" s="385" t="s">
        <v>19</v>
      </c>
      <c r="F819" s="385" t="s">
        <v>488</v>
      </c>
      <c r="G819" s="385" t="s">
        <v>19</v>
      </c>
      <c r="H819" s="386">
        <v>0</v>
      </c>
      <c r="I819" s="386">
        <v>155</v>
      </c>
      <c r="J819" s="386">
        <v>0</v>
      </c>
      <c r="K819" s="386">
        <v>0</v>
      </c>
      <c r="L819" s="387" t="s">
        <v>489</v>
      </c>
    </row>
    <row r="820" spans="1:12" ht="25.5" hidden="1">
      <c r="A820" s="385" t="s">
        <v>345</v>
      </c>
      <c r="B820" s="385" t="s">
        <v>272</v>
      </c>
      <c r="C820" s="385" t="s">
        <v>526</v>
      </c>
      <c r="D820" s="385" t="s">
        <v>380</v>
      </c>
      <c r="E820" s="385" t="s">
        <v>19</v>
      </c>
      <c r="F820" s="385" t="s">
        <v>477</v>
      </c>
      <c r="G820" s="385" t="s">
        <v>19</v>
      </c>
      <c r="H820" s="386">
        <v>0</v>
      </c>
      <c r="I820" s="386">
        <v>45937</v>
      </c>
      <c r="J820" s="386">
        <v>0</v>
      </c>
      <c r="K820" s="386">
        <v>19624.689999999999</v>
      </c>
      <c r="L820" s="387" t="s">
        <v>478</v>
      </c>
    </row>
    <row r="821" spans="1:12" ht="25.5" hidden="1">
      <c r="A821" s="385" t="s">
        <v>345</v>
      </c>
      <c r="B821" s="385" t="s">
        <v>272</v>
      </c>
      <c r="C821" s="385" t="s">
        <v>526</v>
      </c>
      <c r="D821" s="385" t="s">
        <v>380</v>
      </c>
      <c r="E821" s="385" t="s">
        <v>19</v>
      </c>
      <c r="F821" s="385" t="s">
        <v>475</v>
      </c>
      <c r="G821" s="385" t="s">
        <v>19</v>
      </c>
      <c r="H821" s="386">
        <v>0</v>
      </c>
      <c r="I821" s="386">
        <v>34899</v>
      </c>
      <c r="J821" s="386">
        <v>0</v>
      </c>
      <c r="K821" s="386">
        <v>17995.43</v>
      </c>
      <c r="L821" s="387" t="s">
        <v>476</v>
      </c>
    </row>
    <row r="822" spans="1:12" ht="25.5" hidden="1">
      <c r="A822" s="385" t="s">
        <v>345</v>
      </c>
      <c r="B822" s="385" t="s">
        <v>272</v>
      </c>
      <c r="C822" s="385" t="s">
        <v>528</v>
      </c>
      <c r="D822" s="385" t="s">
        <v>380</v>
      </c>
      <c r="E822" s="385" t="s">
        <v>19</v>
      </c>
      <c r="F822" s="385" t="s">
        <v>475</v>
      </c>
      <c r="G822" s="385" t="s">
        <v>19</v>
      </c>
      <c r="H822" s="386">
        <v>0</v>
      </c>
      <c r="I822" s="386">
        <v>5000</v>
      </c>
      <c r="J822" s="386">
        <v>0</v>
      </c>
      <c r="K822" s="386">
        <v>2210.4899999999998</v>
      </c>
      <c r="L822" s="387" t="s">
        <v>476</v>
      </c>
    </row>
    <row r="823" spans="1:12" ht="25.5" hidden="1">
      <c r="A823" s="385" t="s">
        <v>345</v>
      </c>
      <c r="B823" s="385" t="s">
        <v>272</v>
      </c>
      <c r="C823" s="385" t="s">
        <v>528</v>
      </c>
      <c r="D823" s="385" t="s">
        <v>380</v>
      </c>
      <c r="E823" s="385" t="s">
        <v>19</v>
      </c>
      <c r="F823" s="385" t="s">
        <v>389</v>
      </c>
      <c r="G823" s="385" t="s">
        <v>19</v>
      </c>
      <c r="H823" s="386">
        <v>0</v>
      </c>
      <c r="I823" s="386">
        <v>0</v>
      </c>
      <c r="J823" s="386">
        <v>0</v>
      </c>
      <c r="K823" s="386">
        <v>0</v>
      </c>
      <c r="L823" s="387" t="s">
        <v>390</v>
      </c>
    </row>
    <row r="824" spans="1:12" ht="25.5" hidden="1">
      <c r="A824" s="385" t="s">
        <v>345</v>
      </c>
      <c r="B824" s="385" t="s">
        <v>272</v>
      </c>
      <c r="C824" s="385" t="s">
        <v>529</v>
      </c>
      <c r="D824" s="385" t="s">
        <v>380</v>
      </c>
      <c r="E824" s="385" t="s">
        <v>19</v>
      </c>
      <c r="F824" s="385" t="s">
        <v>477</v>
      </c>
      <c r="G824" s="385" t="s">
        <v>19</v>
      </c>
      <c r="H824" s="386">
        <v>0</v>
      </c>
      <c r="I824" s="386">
        <v>6500</v>
      </c>
      <c r="J824" s="386">
        <v>0</v>
      </c>
      <c r="K824" s="386">
        <v>3491.8</v>
      </c>
      <c r="L824" s="387" t="s">
        <v>478</v>
      </c>
    </row>
    <row r="825" spans="1:12" ht="25.5" hidden="1">
      <c r="A825" s="385" t="s">
        <v>345</v>
      </c>
      <c r="B825" s="385" t="s">
        <v>272</v>
      </c>
      <c r="C825" s="385" t="s">
        <v>529</v>
      </c>
      <c r="D825" s="385" t="s">
        <v>380</v>
      </c>
      <c r="E825" s="385" t="s">
        <v>19</v>
      </c>
      <c r="F825" s="385" t="s">
        <v>475</v>
      </c>
      <c r="G825" s="385" t="s">
        <v>19</v>
      </c>
      <c r="H825" s="386">
        <v>0</v>
      </c>
      <c r="I825" s="386">
        <v>1500</v>
      </c>
      <c r="J825" s="386">
        <v>0</v>
      </c>
      <c r="K825" s="386">
        <v>0</v>
      </c>
      <c r="L825" s="387" t="s">
        <v>476</v>
      </c>
    </row>
    <row r="826" spans="1:12" ht="25.5" hidden="1">
      <c r="A826" s="385" t="s">
        <v>345</v>
      </c>
      <c r="B826" s="385" t="s">
        <v>272</v>
      </c>
      <c r="C826" s="385" t="s">
        <v>530</v>
      </c>
      <c r="D826" s="385" t="s">
        <v>380</v>
      </c>
      <c r="E826" s="385" t="s">
        <v>19</v>
      </c>
      <c r="F826" s="385" t="s">
        <v>475</v>
      </c>
      <c r="G826" s="385" t="s">
        <v>19</v>
      </c>
      <c r="H826" s="386">
        <v>0</v>
      </c>
      <c r="I826" s="386">
        <v>24000</v>
      </c>
      <c r="J826" s="386">
        <v>0</v>
      </c>
      <c r="K826" s="386">
        <v>19622.59</v>
      </c>
      <c r="L826" s="387" t="s">
        <v>476</v>
      </c>
    </row>
    <row r="827" spans="1:12" ht="25.5" hidden="1">
      <c r="A827" s="385" t="s">
        <v>345</v>
      </c>
      <c r="B827" s="385" t="s">
        <v>272</v>
      </c>
      <c r="C827" s="385" t="s">
        <v>531</v>
      </c>
      <c r="D827" s="385" t="s">
        <v>380</v>
      </c>
      <c r="E827" s="385" t="s">
        <v>19</v>
      </c>
      <c r="F827" s="385" t="s">
        <v>477</v>
      </c>
      <c r="G827" s="385" t="s">
        <v>19</v>
      </c>
      <c r="H827" s="386">
        <v>0</v>
      </c>
      <c r="I827" s="386">
        <v>1000</v>
      </c>
      <c r="J827" s="386">
        <v>0</v>
      </c>
      <c r="K827" s="386">
        <v>1000</v>
      </c>
      <c r="L827" s="387" t="s">
        <v>478</v>
      </c>
    </row>
    <row r="828" spans="1:12" ht="25.5" hidden="1">
      <c r="A828" s="385" t="s">
        <v>345</v>
      </c>
      <c r="B828" s="385" t="s">
        <v>272</v>
      </c>
      <c r="C828" s="385" t="s">
        <v>510</v>
      </c>
      <c r="D828" s="385" t="s">
        <v>380</v>
      </c>
      <c r="E828" s="385" t="s">
        <v>19</v>
      </c>
      <c r="F828" s="385" t="s">
        <v>475</v>
      </c>
      <c r="G828" s="385" t="s">
        <v>19</v>
      </c>
      <c r="H828" s="386">
        <v>0</v>
      </c>
      <c r="I828" s="386">
        <v>11600</v>
      </c>
      <c r="J828" s="386">
        <v>0</v>
      </c>
      <c r="K828" s="386">
        <v>7269.09</v>
      </c>
      <c r="L828" s="387" t="s">
        <v>476</v>
      </c>
    </row>
    <row r="829" spans="1:12" ht="25.5" hidden="1">
      <c r="A829" s="385" t="s">
        <v>345</v>
      </c>
      <c r="B829" s="385" t="s">
        <v>272</v>
      </c>
      <c r="C829" s="385" t="s">
        <v>535</v>
      </c>
      <c r="D829" s="385" t="s">
        <v>380</v>
      </c>
      <c r="E829" s="385" t="s">
        <v>19</v>
      </c>
      <c r="F829" s="385" t="s">
        <v>477</v>
      </c>
      <c r="G829" s="385" t="s">
        <v>19</v>
      </c>
      <c r="H829" s="386">
        <v>0</v>
      </c>
      <c r="I829" s="386">
        <v>80169</v>
      </c>
      <c r="J829" s="386">
        <v>0</v>
      </c>
      <c r="K829" s="386">
        <v>60127.72</v>
      </c>
      <c r="L829" s="387" t="s">
        <v>478</v>
      </c>
    </row>
    <row r="830" spans="1:12" ht="25.5" hidden="1">
      <c r="A830" s="385" t="s">
        <v>345</v>
      </c>
      <c r="B830" s="385" t="s">
        <v>272</v>
      </c>
      <c r="C830" s="385" t="s">
        <v>535</v>
      </c>
      <c r="D830" s="385" t="s">
        <v>380</v>
      </c>
      <c r="E830" s="385" t="s">
        <v>19</v>
      </c>
      <c r="F830" s="385" t="s">
        <v>475</v>
      </c>
      <c r="G830" s="385" t="s">
        <v>19</v>
      </c>
      <c r="H830" s="386">
        <v>0</v>
      </c>
      <c r="I830" s="386">
        <v>54106</v>
      </c>
      <c r="J830" s="386">
        <v>0</v>
      </c>
      <c r="K830" s="386">
        <v>38365</v>
      </c>
      <c r="L830" s="387" t="s">
        <v>476</v>
      </c>
    </row>
    <row r="831" spans="1:12" ht="25.5" hidden="1">
      <c r="A831" s="385" t="s">
        <v>345</v>
      </c>
      <c r="B831" s="385" t="s">
        <v>272</v>
      </c>
      <c r="C831" s="385" t="s">
        <v>540</v>
      </c>
      <c r="D831" s="385" t="s">
        <v>380</v>
      </c>
      <c r="E831" s="385" t="s">
        <v>19</v>
      </c>
      <c r="F831" s="385" t="s">
        <v>477</v>
      </c>
      <c r="G831" s="385" t="s">
        <v>19</v>
      </c>
      <c r="H831" s="386">
        <v>0</v>
      </c>
      <c r="I831" s="386">
        <v>400</v>
      </c>
      <c r="J831" s="386">
        <v>0</v>
      </c>
      <c r="K831" s="386">
        <v>0</v>
      </c>
      <c r="L831" s="387" t="s">
        <v>478</v>
      </c>
    </row>
    <row r="832" spans="1:12" ht="25.5" hidden="1">
      <c r="A832" s="385" t="s">
        <v>345</v>
      </c>
      <c r="B832" s="385" t="s">
        <v>272</v>
      </c>
      <c r="C832" s="385" t="s">
        <v>548</v>
      </c>
      <c r="D832" s="385" t="s">
        <v>380</v>
      </c>
      <c r="E832" s="385" t="s">
        <v>19</v>
      </c>
      <c r="F832" s="385" t="s">
        <v>477</v>
      </c>
      <c r="G832" s="385" t="s">
        <v>19</v>
      </c>
      <c r="H832" s="386">
        <v>0</v>
      </c>
      <c r="I832" s="386">
        <v>1592</v>
      </c>
      <c r="J832" s="386">
        <v>0</v>
      </c>
      <c r="K832" s="386">
        <v>389.43</v>
      </c>
      <c r="L832" s="387" t="s">
        <v>478</v>
      </c>
    </row>
    <row r="833" spans="1:12" ht="25.5" hidden="1">
      <c r="A833" s="385" t="s">
        <v>345</v>
      </c>
      <c r="B833" s="385" t="s">
        <v>272</v>
      </c>
      <c r="C833" s="385" t="s">
        <v>548</v>
      </c>
      <c r="D833" s="385" t="s">
        <v>380</v>
      </c>
      <c r="E833" s="385" t="s">
        <v>19</v>
      </c>
      <c r="F833" s="385" t="s">
        <v>475</v>
      </c>
      <c r="G833" s="385" t="s">
        <v>19</v>
      </c>
      <c r="H833" s="386">
        <v>0</v>
      </c>
      <c r="I833" s="386">
        <v>3981</v>
      </c>
      <c r="J833" s="386">
        <v>0</v>
      </c>
      <c r="K833" s="386">
        <v>1424.57</v>
      </c>
      <c r="L833" s="387" t="s">
        <v>476</v>
      </c>
    </row>
    <row r="834" spans="1:12" ht="25.5" hidden="1">
      <c r="A834" s="385" t="s">
        <v>345</v>
      </c>
      <c r="B834" s="385" t="s">
        <v>272</v>
      </c>
      <c r="C834" s="385" t="s">
        <v>594</v>
      </c>
      <c r="D834" s="385" t="s">
        <v>380</v>
      </c>
      <c r="E834" s="385" t="s">
        <v>19</v>
      </c>
      <c r="F834" s="385" t="s">
        <v>477</v>
      </c>
      <c r="G834" s="385" t="s">
        <v>19</v>
      </c>
      <c r="H834" s="386">
        <v>0</v>
      </c>
      <c r="I834" s="386">
        <v>1764336.01</v>
      </c>
      <c r="J834" s="386">
        <v>0</v>
      </c>
      <c r="K834" s="386">
        <v>1112854.3</v>
      </c>
      <c r="L834" s="387" t="s">
        <v>478</v>
      </c>
    </row>
    <row r="835" spans="1:12" ht="25.5" hidden="1">
      <c r="A835" s="385" t="s">
        <v>345</v>
      </c>
      <c r="B835" s="385" t="s">
        <v>272</v>
      </c>
      <c r="C835" s="385" t="s">
        <v>594</v>
      </c>
      <c r="D835" s="385" t="s">
        <v>380</v>
      </c>
      <c r="E835" s="385" t="s">
        <v>19</v>
      </c>
      <c r="F835" s="385" t="s">
        <v>475</v>
      </c>
      <c r="G835" s="385" t="s">
        <v>19</v>
      </c>
      <c r="H835" s="386">
        <v>0</v>
      </c>
      <c r="I835" s="386">
        <v>1131817</v>
      </c>
      <c r="J835" s="386">
        <v>0</v>
      </c>
      <c r="K835" s="386">
        <v>678991.11</v>
      </c>
      <c r="L835" s="387" t="s">
        <v>476</v>
      </c>
    </row>
    <row r="836" spans="1:12" ht="25.5" hidden="1">
      <c r="A836" s="385" t="s">
        <v>345</v>
      </c>
      <c r="B836" s="385" t="s">
        <v>272</v>
      </c>
      <c r="C836" s="385" t="s">
        <v>594</v>
      </c>
      <c r="D836" s="385" t="s">
        <v>380</v>
      </c>
      <c r="E836" s="385" t="s">
        <v>19</v>
      </c>
      <c r="F836" s="385" t="s">
        <v>488</v>
      </c>
      <c r="G836" s="385" t="s">
        <v>19</v>
      </c>
      <c r="H836" s="386">
        <v>0</v>
      </c>
      <c r="I836" s="386">
        <v>21032</v>
      </c>
      <c r="J836" s="386">
        <v>0</v>
      </c>
      <c r="K836" s="386">
        <v>0</v>
      </c>
      <c r="L836" s="387" t="s">
        <v>489</v>
      </c>
    </row>
    <row r="837" spans="1:12" ht="25.5" hidden="1">
      <c r="A837" s="385" t="s">
        <v>345</v>
      </c>
      <c r="B837" s="385" t="s">
        <v>272</v>
      </c>
      <c r="C837" s="385" t="s">
        <v>595</v>
      </c>
      <c r="D837" s="385" t="s">
        <v>380</v>
      </c>
      <c r="E837" s="385" t="s">
        <v>19</v>
      </c>
      <c r="F837" s="385" t="s">
        <v>477</v>
      </c>
      <c r="G837" s="385" t="s">
        <v>19</v>
      </c>
      <c r="H837" s="386">
        <v>0</v>
      </c>
      <c r="I837" s="386">
        <v>123653.99</v>
      </c>
      <c r="J837" s="386">
        <v>0</v>
      </c>
      <c r="K837" s="386">
        <v>123653.99</v>
      </c>
      <c r="L837" s="387" t="s">
        <v>478</v>
      </c>
    </row>
    <row r="838" spans="1:12" ht="25.5" hidden="1">
      <c r="A838" s="385" t="s">
        <v>345</v>
      </c>
      <c r="B838" s="385" t="s">
        <v>272</v>
      </c>
      <c r="C838" s="385" t="s">
        <v>595</v>
      </c>
      <c r="D838" s="385" t="s">
        <v>380</v>
      </c>
      <c r="E838" s="385" t="s">
        <v>19</v>
      </c>
      <c r="F838" s="385" t="s">
        <v>475</v>
      </c>
      <c r="G838" s="385" t="s">
        <v>19</v>
      </c>
      <c r="H838" s="386">
        <v>0</v>
      </c>
      <c r="I838" s="386">
        <v>108915</v>
      </c>
      <c r="J838" s="386">
        <v>0</v>
      </c>
      <c r="K838" s="386">
        <v>101354.12</v>
      </c>
      <c r="L838" s="387" t="s">
        <v>476</v>
      </c>
    </row>
    <row r="839" spans="1:12" ht="25.5" hidden="1">
      <c r="A839" s="385" t="s">
        <v>345</v>
      </c>
      <c r="B839" s="385" t="s">
        <v>605</v>
      </c>
      <c r="C839" s="385" t="s">
        <v>528</v>
      </c>
      <c r="D839" s="385" t="s">
        <v>380</v>
      </c>
      <c r="E839" s="385" t="s">
        <v>19</v>
      </c>
      <c r="F839" s="385" t="s">
        <v>477</v>
      </c>
      <c r="G839" s="385" t="s">
        <v>19</v>
      </c>
      <c r="H839" s="386">
        <v>0</v>
      </c>
      <c r="I839" s="386">
        <v>4000</v>
      </c>
      <c r="J839" s="386">
        <v>0</v>
      </c>
      <c r="K839" s="386">
        <v>2704.46</v>
      </c>
      <c r="L839" s="387" t="s">
        <v>478</v>
      </c>
    </row>
    <row r="840" spans="1:12" hidden="1">
      <c r="A840" s="385" t="s">
        <v>345</v>
      </c>
      <c r="B840" s="385" t="s">
        <v>605</v>
      </c>
      <c r="C840" s="385" t="s">
        <v>528</v>
      </c>
      <c r="D840" s="385" t="s">
        <v>380</v>
      </c>
      <c r="E840" s="385" t="s">
        <v>19</v>
      </c>
      <c r="F840" s="385" t="s">
        <v>479</v>
      </c>
      <c r="G840" s="385" t="s">
        <v>19</v>
      </c>
      <c r="H840" s="386">
        <v>0</v>
      </c>
      <c r="I840" s="386">
        <v>500</v>
      </c>
      <c r="J840" s="386">
        <v>0</v>
      </c>
      <c r="K840" s="386">
        <v>0</v>
      </c>
      <c r="L840" s="387" t="s">
        <v>480</v>
      </c>
    </row>
    <row r="841" spans="1:12" hidden="1">
      <c r="A841" s="385" t="s">
        <v>345</v>
      </c>
      <c r="B841" s="385" t="s">
        <v>605</v>
      </c>
      <c r="C841" s="385" t="s">
        <v>528</v>
      </c>
      <c r="D841" s="385" t="s">
        <v>380</v>
      </c>
      <c r="E841" s="385" t="s">
        <v>19</v>
      </c>
      <c r="F841" s="385" t="s">
        <v>471</v>
      </c>
      <c r="G841" s="385" t="s">
        <v>19</v>
      </c>
      <c r="H841" s="386">
        <v>0</v>
      </c>
      <c r="I841" s="386">
        <v>5500</v>
      </c>
      <c r="J841" s="386">
        <v>0</v>
      </c>
      <c r="K841" s="386">
        <v>580</v>
      </c>
      <c r="L841" s="387" t="s">
        <v>472</v>
      </c>
    </row>
    <row r="842" spans="1:12" ht="25.5" hidden="1">
      <c r="A842" s="385" t="s">
        <v>345</v>
      </c>
      <c r="B842" s="385" t="s">
        <v>605</v>
      </c>
      <c r="C842" s="385" t="s">
        <v>528</v>
      </c>
      <c r="D842" s="385" t="s">
        <v>380</v>
      </c>
      <c r="E842" s="385" t="s">
        <v>19</v>
      </c>
      <c r="F842" s="385" t="s">
        <v>469</v>
      </c>
      <c r="G842" s="385" t="s">
        <v>19</v>
      </c>
      <c r="H842" s="386">
        <v>0</v>
      </c>
      <c r="I842" s="386">
        <v>2500</v>
      </c>
      <c r="J842" s="386">
        <v>0</v>
      </c>
      <c r="K842" s="386">
        <v>694.95</v>
      </c>
      <c r="L842" s="387" t="s">
        <v>470</v>
      </c>
    </row>
    <row r="843" spans="1:12" ht="25.5" hidden="1">
      <c r="A843" s="385" t="s">
        <v>345</v>
      </c>
      <c r="B843" s="385" t="s">
        <v>605</v>
      </c>
      <c r="C843" s="385" t="s">
        <v>598</v>
      </c>
      <c r="D843" s="385" t="s">
        <v>380</v>
      </c>
      <c r="E843" s="385" t="s">
        <v>19</v>
      </c>
      <c r="F843" s="385" t="s">
        <v>469</v>
      </c>
      <c r="G843" s="385" t="s">
        <v>19</v>
      </c>
      <c r="H843" s="386">
        <v>0</v>
      </c>
      <c r="I843" s="386">
        <v>4000</v>
      </c>
      <c r="J843" s="386">
        <v>0</v>
      </c>
      <c r="K843" s="386">
        <v>873.3</v>
      </c>
      <c r="L843" s="387" t="s">
        <v>470</v>
      </c>
    </row>
    <row r="844" spans="1:12" hidden="1">
      <c r="A844" s="385" t="s">
        <v>345</v>
      </c>
      <c r="B844" s="385" t="s">
        <v>605</v>
      </c>
      <c r="C844" s="385" t="s">
        <v>598</v>
      </c>
      <c r="D844" s="385" t="s">
        <v>380</v>
      </c>
      <c r="E844" s="385" t="s">
        <v>19</v>
      </c>
      <c r="F844" s="385" t="s">
        <v>479</v>
      </c>
      <c r="G844" s="385" t="s">
        <v>19</v>
      </c>
      <c r="H844" s="386">
        <v>0</v>
      </c>
      <c r="I844" s="386">
        <v>500</v>
      </c>
      <c r="J844" s="386">
        <v>0</v>
      </c>
      <c r="K844" s="386">
        <v>0</v>
      </c>
      <c r="L844" s="387" t="s">
        <v>480</v>
      </c>
    </row>
    <row r="845" spans="1:12" hidden="1">
      <c r="A845" s="385" t="s">
        <v>345</v>
      </c>
      <c r="B845" s="385" t="s">
        <v>605</v>
      </c>
      <c r="C845" s="385" t="s">
        <v>598</v>
      </c>
      <c r="D845" s="385" t="s">
        <v>380</v>
      </c>
      <c r="E845" s="385" t="s">
        <v>19</v>
      </c>
      <c r="F845" s="385" t="s">
        <v>471</v>
      </c>
      <c r="G845" s="385" t="s">
        <v>19</v>
      </c>
      <c r="H845" s="386">
        <v>0</v>
      </c>
      <c r="I845" s="386">
        <v>2500</v>
      </c>
      <c r="J845" s="386">
        <v>0</v>
      </c>
      <c r="K845" s="386">
        <v>0</v>
      </c>
      <c r="L845" s="387" t="s">
        <v>472</v>
      </c>
    </row>
    <row r="846" spans="1:12" ht="25.5" hidden="1">
      <c r="A846" s="385" t="s">
        <v>345</v>
      </c>
      <c r="B846" s="385" t="s">
        <v>605</v>
      </c>
      <c r="C846" s="385" t="s">
        <v>510</v>
      </c>
      <c r="D846" s="385" t="s">
        <v>380</v>
      </c>
      <c r="E846" s="385" t="s">
        <v>19</v>
      </c>
      <c r="F846" s="385" t="s">
        <v>475</v>
      </c>
      <c r="G846" s="385" t="s">
        <v>19</v>
      </c>
      <c r="H846" s="386">
        <v>0</v>
      </c>
      <c r="I846" s="386">
        <v>3550</v>
      </c>
      <c r="J846" s="386">
        <v>0</v>
      </c>
      <c r="K846" s="386">
        <v>2719.5</v>
      </c>
      <c r="L846" s="387" t="s">
        <v>476</v>
      </c>
    </row>
    <row r="847" spans="1:12" ht="25.5" hidden="1">
      <c r="A847" s="385" t="s">
        <v>345</v>
      </c>
      <c r="B847" s="385" t="s">
        <v>605</v>
      </c>
      <c r="C847" s="385" t="s">
        <v>510</v>
      </c>
      <c r="D847" s="385" t="s">
        <v>380</v>
      </c>
      <c r="E847" s="385" t="s">
        <v>19</v>
      </c>
      <c r="F847" s="385" t="s">
        <v>488</v>
      </c>
      <c r="G847" s="385" t="s">
        <v>19</v>
      </c>
      <c r="H847" s="386">
        <v>0</v>
      </c>
      <c r="I847" s="386">
        <v>4500</v>
      </c>
      <c r="J847" s="386">
        <v>0</v>
      </c>
      <c r="K847" s="386">
        <v>4305</v>
      </c>
      <c r="L847" s="387" t="s">
        <v>489</v>
      </c>
    </row>
    <row r="848" spans="1:12" ht="25.5" hidden="1">
      <c r="A848" s="385" t="s">
        <v>345</v>
      </c>
      <c r="B848" s="385" t="s">
        <v>605</v>
      </c>
      <c r="C848" s="385" t="s">
        <v>510</v>
      </c>
      <c r="D848" s="385" t="s">
        <v>380</v>
      </c>
      <c r="E848" s="385" t="s">
        <v>19</v>
      </c>
      <c r="F848" s="385" t="s">
        <v>469</v>
      </c>
      <c r="G848" s="385" t="s">
        <v>19</v>
      </c>
      <c r="H848" s="386">
        <v>0</v>
      </c>
      <c r="I848" s="386">
        <v>1800</v>
      </c>
      <c r="J848" s="386">
        <v>0</v>
      </c>
      <c r="K848" s="386">
        <v>20.91</v>
      </c>
      <c r="L848" s="387" t="s">
        <v>470</v>
      </c>
    </row>
    <row r="849" spans="1:12" hidden="1">
      <c r="A849" s="385" t="s">
        <v>345</v>
      </c>
      <c r="B849" s="385" t="s">
        <v>605</v>
      </c>
      <c r="C849" s="385" t="s">
        <v>510</v>
      </c>
      <c r="D849" s="385" t="s">
        <v>380</v>
      </c>
      <c r="E849" s="385" t="s">
        <v>19</v>
      </c>
      <c r="F849" s="385" t="s">
        <v>473</v>
      </c>
      <c r="G849" s="385" t="s">
        <v>19</v>
      </c>
      <c r="H849" s="386">
        <v>0</v>
      </c>
      <c r="I849" s="386">
        <v>6000</v>
      </c>
      <c r="J849" s="386">
        <v>0</v>
      </c>
      <c r="K849" s="386">
        <v>0</v>
      </c>
      <c r="L849" s="387" t="s">
        <v>474</v>
      </c>
    </row>
    <row r="850" spans="1:12" hidden="1">
      <c r="A850" s="385" t="s">
        <v>345</v>
      </c>
      <c r="B850" s="385" t="s">
        <v>605</v>
      </c>
      <c r="C850" s="385" t="s">
        <v>510</v>
      </c>
      <c r="D850" s="385" t="s">
        <v>380</v>
      </c>
      <c r="E850" s="385" t="s">
        <v>19</v>
      </c>
      <c r="F850" s="385" t="s">
        <v>471</v>
      </c>
      <c r="G850" s="385" t="s">
        <v>19</v>
      </c>
      <c r="H850" s="386">
        <v>0</v>
      </c>
      <c r="I850" s="386">
        <v>18500</v>
      </c>
      <c r="J850" s="386">
        <v>0</v>
      </c>
      <c r="K850" s="386">
        <v>4956.5</v>
      </c>
      <c r="L850" s="387" t="s">
        <v>472</v>
      </c>
    </row>
    <row r="851" spans="1:12" hidden="1">
      <c r="A851" s="385" t="s">
        <v>345</v>
      </c>
      <c r="B851" s="385" t="s">
        <v>605</v>
      </c>
      <c r="C851" s="385" t="s">
        <v>510</v>
      </c>
      <c r="D851" s="385" t="s">
        <v>380</v>
      </c>
      <c r="E851" s="385" t="s">
        <v>19</v>
      </c>
      <c r="F851" s="385" t="s">
        <v>479</v>
      </c>
      <c r="G851" s="385" t="s">
        <v>19</v>
      </c>
      <c r="H851" s="386">
        <v>0</v>
      </c>
      <c r="I851" s="386">
        <v>5000</v>
      </c>
      <c r="J851" s="386">
        <v>0</v>
      </c>
      <c r="K851" s="386">
        <v>900</v>
      </c>
      <c r="L851" s="387" t="s">
        <v>480</v>
      </c>
    </row>
    <row r="852" spans="1:12" ht="25.5" hidden="1">
      <c r="A852" s="385" t="s">
        <v>345</v>
      </c>
      <c r="B852" s="385" t="s">
        <v>605</v>
      </c>
      <c r="C852" s="385" t="s">
        <v>533</v>
      </c>
      <c r="D852" s="385" t="s">
        <v>380</v>
      </c>
      <c r="E852" s="385" t="s">
        <v>19</v>
      </c>
      <c r="F852" s="385" t="s">
        <v>488</v>
      </c>
      <c r="G852" s="385" t="s">
        <v>19</v>
      </c>
      <c r="H852" s="386">
        <v>0</v>
      </c>
      <c r="I852" s="386">
        <v>22577.08</v>
      </c>
      <c r="J852" s="386">
        <v>0</v>
      </c>
      <c r="K852" s="386">
        <v>0</v>
      </c>
      <c r="L852" s="387" t="s">
        <v>489</v>
      </c>
    </row>
    <row r="853" spans="1:12" hidden="1">
      <c r="A853" s="385" t="s">
        <v>345</v>
      </c>
      <c r="B853" s="385" t="s">
        <v>605</v>
      </c>
      <c r="C853" s="385" t="s">
        <v>533</v>
      </c>
      <c r="D853" s="385" t="s">
        <v>380</v>
      </c>
      <c r="E853" s="385" t="s">
        <v>19</v>
      </c>
      <c r="F853" s="385" t="s">
        <v>473</v>
      </c>
      <c r="G853" s="385" t="s">
        <v>19</v>
      </c>
      <c r="H853" s="386">
        <v>0</v>
      </c>
      <c r="I853" s="386">
        <v>3000</v>
      </c>
      <c r="J853" s="386">
        <v>0</v>
      </c>
      <c r="K853" s="386">
        <v>593.91</v>
      </c>
      <c r="L853" s="387" t="s">
        <v>474</v>
      </c>
    </row>
    <row r="854" spans="1:12" ht="25.5" hidden="1">
      <c r="A854" s="385" t="s">
        <v>345</v>
      </c>
      <c r="B854" s="385" t="s">
        <v>605</v>
      </c>
      <c r="C854" s="385" t="s">
        <v>533</v>
      </c>
      <c r="D854" s="385" t="s">
        <v>380</v>
      </c>
      <c r="E854" s="385" t="s">
        <v>19</v>
      </c>
      <c r="F854" s="385" t="s">
        <v>475</v>
      </c>
      <c r="G854" s="385" t="s">
        <v>19</v>
      </c>
      <c r="H854" s="386">
        <v>0</v>
      </c>
      <c r="I854" s="386">
        <v>1502</v>
      </c>
      <c r="J854" s="386">
        <v>0</v>
      </c>
      <c r="K854" s="386">
        <v>1158.4000000000001</v>
      </c>
      <c r="L854" s="387" t="s">
        <v>476</v>
      </c>
    </row>
    <row r="855" spans="1:12" ht="25.5" hidden="1">
      <c r="A855" s="385" t="s">
        <v>345</v>
      </c>
      <c r="B855" s="385" t="s">
        <v>605</v>
      </c>
      <c r="C855" s="385" t="s">
        <v>533</v>
      </c>
      <c r="D855" s="385" t="s">
        <v>380</v>
      </c>
      <c r="E855" s="385" t="s">
        <v>19</v>
      </c>
      <c r="F855" s="385" t="s">
        <v>469</v>
      </c>
      <c r="G855" s="385" t="s">
        <v>19</v>
      </c>
      <c r="H855" s="386">
        <v>0</v>
      </c>
      <c r="I855" s="386">
        <v>1332</v>
      </c>
      <c r="J855" s="386">
        <v>0</v>
      </c>
      <c r="K855" s="386">
        <v>0</v>
      </c>
      <c r="L855" s="387" t="s">
        <v>470</v>
      </c>
    </row>
    <row r="856" spans="1:12" hidden="1">
      <c r="A856" s="385" t="s">
        <v>345</v>
      </c>
      <c r="B856" s="385" t="s">
        <v>605</v>
      </c>
      <c r="C856" s="385" t="s">
        <v>533</v>
      </c>
      <c r="D856" s="385" t="s">
        <v>380</v>
      </c>
      <c r="E856" s="385" t="s">
        <v>19</v>
      </c>
      <c r="F856" s="385" t="s">
        <v>479</v>
      </c>
      <c r="G856" s="385" t="s">
        <v>19</v>
      </c>
      <c r="H856" s="386">
        <v>0</v>
      </c>
      <c r="I856" s="386">
        <v>1155</v>
      </c>
      <c r="J856" s="386">
        <v>0</v>
      </c>
      <c r="K856" s="386">
        <v>223.1</v>
      </c>
      <c r="L856" s="387" t="s">
        <v>480</v>
      </c>
    </row>
    <row r="857" spans="1:12" ht="25.5" hidden="1">
      <c r="A857" s="385" t="s">
        <v>345</v>
      </c>
      <c r="B857" s="385" t="s">
        <v>605</v>
      </c>
      <c r="C857" s="385" t="s">
        <v>540</v>
      </c>
      <c r="D857" s="385" t="s">
        <v>380</v>
      </c>
      <c r="E857" s="385" t="s">
        <v>19</v>
      </c>
      <c r="F857" s="385" t="s">
        <v>488</v>
      </c>
      <c r="G857" s="385" t="s">
        <v>19</v>
      </c>
      <c r="H857" s="386">
        <v>0</v>
      </c>
      <c r="I857" s="386">
        <v>26358</v>
      </c>
      <c r="J857" s="386">
        <v>0</v>
      </c>
      <c r="K857" s="386">
        <v>0</v>
      </c>
      <c r="L857" s="387" t="s">
        <v>489</v>
      </c>
    </row>
    <row r="858" spans="1:12" hidden="1">
      <c r="A858" s="385" t="s">
        <v>345</v>
      </c>
      <c r="B858" s="385" t="s">
        <v>605</v>
      </c>
      <c r="C858" s="385" t="s">
        <v>540</v>
      </c>
      <c r="D858" s="385" t="s">
        <v>380</v>
      </c>
      <c r="E858" s="385" t="s">
        <v>19</v>
      </c>
      <c r="F858" s="385" t="s">
        <v>479</v>
      </c>
      <c r="G858" s="385" t="s">
        <v>19</v>
      </c>
      <c r="H858" s="386">
        <v>0</v>
      </c>
      <c r="I858" s="386">
        <v>13013</v>
      </c>
      <c r="J858" s="386">
        <v>0</v>
      </c>
      <c r="K858" s="386">
        <v>2025</v>
      </c>
      <c r="L858" s="387" t="s">
        <v>480</v>
      </c>
    </row>
    <row r="859" spans="1:12" ht="25.5" hidden="1">
      <c r="A859" s="385" t="s">
        <v>345</v>
      </c>
      <c r="B859" s="385" t="s">
        <v>605</v>
      </c>
      <c r="C859" s="385" t="s">
        <v>540</v>
      </c>
      <c r="D859" s="385" t="s">
        <v>380</v>
      </c>
      <c r="E859" s="385" t="s">
        <v>19</v>
      </c>
      <c r="F859" s="385" t="s">
        <v>477</v>
      </c>
      <c r="G859" s="385" t="s">
        <v>19</v>
      </c>
      <c r="H859" s="386">
        <v>0</v>
      </c>
      <c r="I859" s="386">
        <v>37236</v>
      </c>
      <c r="J859" s="386">
        <v>0</v>
      </c>
      <c r="K859" s="386">
        <v>820</v>
      </c>
      <c r="L859" s="387" t="s">
        <v>478</v>
      </c>
    </row>
    <row r="860" spans="1:12" ht="25.5" hidden="1">
      <c r="A860" s="385" t="s">
        <v>345</v>
      </c>
      <c r="B860" s="385" t="s">
        <v>605</v>
      </c>
      <c r="C860" s="385" t="s">
        <v>540</v>
      </c>
      <c r="D860" s="385" t="s">
        <v>380</v>
      </c>
      <c r="E860" s="385" t="s">
        <v>19</v>
      </c>
      <c r="F860" s="385" t="s">
        <v>469</v>
      </c>
      <c r="G860" s="385" t="s">
        <v>19</v>
      </c>
      <c r="H860" s="386">
        <v>0</v>
      </c>
      <c r="I860" s="386">
        <v>4474</v>
      </c>
      <c r="J860" s="386">
        <v>0</v>
      </c>
      <c r="K860" s="386">
        <v>1144</v>
      </c>
      <c r="L860" s="387" t="s">
        <v>470</v>
      </c>
    </row>
    <row r="861" spans="1:12" hidden="1">
      <c r="A861" s="385" t="s">
        <v>345</v>
      </c>
      <c r="B861" s="385" t="s">
        <v>605</v>
      </c>
      <c r="C861" s="385" t="s">
        <v>540</v>
      </c>
      <c r="D861" s="385" t="s">
        <v>380</v>
      </c>
      <c r="E861" s="385" t="s">
        <v>19</v>
      </c>
      <c r="F861" s="385" t="s">
        <v>471</v>
      </c>
      <c r="G861" s="385" t="s">
        <v>19</v>
      </c>
      <c r="H861" s="386">
        <v>0</v>
      </c>
      <c r="I861" s="386">
        <v>49384</v>
      </c>
      <c r="J861" s="386">
        <v>0</v>
      </c>
      <c r="K861" s="386">
        <v>5266.9</v>
      </c>
      <c r="L861" s="387" t="s">
        <v>472</v>
      </c>
    </row>
    <row r="862" spans="1:12" hidden="1">
      <c r="A862" s="385" t="s">
        <v>345</v>
      </c>
      <c r="B862" s="385" t="s">
        <v>605</v>
      </c>
      <c r="C862" s="385" t="s">
        <v>540</v>
      </c>
      <c r="D862" s="385" t="s">
        <v>380</v>
      </c>
      <c r="E862" s="385" t="s">
        <v>19</v>
      </c>
      <c r="F862" s="385" t="s">
        <v>473</v>
      </c>
      <c r="G862" s="385" t="s">
        <v>19</v>
      </c>
      <c r="H862" s="386">
        <v>0</v>
      </c>
      <c r="I862" s="386">
        <v>43659</v>
      </c>
      <c r="J862" s="386">
        <v>0</v>
      </c>
      <c r="K862" s="386">
        <v>1304.76</v>
      </c>
      <c r="L862" s="387" t="s">
        <v>474</v>
      </c>
    </row>
    <row r="863" spans="1:12" ht="25.5" hidden="1">
      <c r="A863" s="385" t="s">
        <v>345</v>
      </c>
      <c r="B863" s="385" t="s">
        <v>605</v>
      </c>
      <c r="C863" s="385" t="s">
        <v>540</v>
      </c>
      <c r="D863" s="385" t="s">
        <v>380</v>
      </c>
      <c r="E863" s="385" t="s">
        <v>19</v>
      </c>
      <c r="F863" s="385" t="s">
        <v>475</v>
      </c>
      <c r="G863" s="385" t="s">
        <v>19</v>
      </c>
      <c r="H863" s="386">
        <v>0</v>
      </c>
      <c r="I863" s="386">
        <v>13000</v>
      </c>
      <c r="J863" s="386">
        <v>0</v>
      </c>
      <c r="K863" s="386">
        <v>3559</v>
      </c>
      <c r="L863" s="387" t="s">
        <v>476</v>
      </c>
    </row>
    <row r="864" spans="1:12" ht="25.5" hidden="1">
      <c r="A864" s="385" t="s">
        <v>345</v>
      </c>
      <c r="B864" s="385" t="s">
        <v>275</v>
      </c>
      <c r="C864" s="385" t="s">
        <v>599</v>
      </c>
      <c r="D864" s="385" t="s">
        <v>380</v>
      </c>
      <c r="E864" s="385" t="s">
        <v>19</v>
      </c>
      <c r="F864" s="385" t="s">
        <v>600</v>
      </c>
      <c r="G864" s="385" t="s">
        <v>19</v>
      </c>
      <c r="H864" s="386">
        <v>0</v>
      </c>
      <c r="I864" s="386">
        <v>13489</v>
      </c>
      <c r="J864" s="386">
        <v>0</v>
      </c>
      <c r="K864" s="386">
        <v>8911.0400000000009</v>
      </c>
      <c r="L864" s="387" t="s">
        <v>601</v>
      </c>
    </row>
    <row r="865" spans="1:12" ht="25.5" hidden="1">
      <c r="A865" s="385" t="s">
        <v>345</v>
      </c>
      <c r="B865" s="385" t="s">
        <v>275</v>
      </c>
      <c r="C865" s="385" t="s">
        <v>602</v>
      </c>
      <c r="D865" s="385" t="s">
        <v>380</v>
      </c>
      <c r="E865" s="385" t="s">
        <v>19</v>
      </c>
      <c r="F865" s="385" t="s">
        <v>603</v>
      </c>
      <c r="G865" s="385" t="s">
        <v>19</v>
      </c>
      <c r="H865" s="386">
        <v>0</v>
      </c>
      <c r="I865" s="386">
        <v>175033</v>
      </c>
      <c r="J865" s="386">
        <v>0</v>
      </c>
      <c r="K865" s="386">
        <v>85320.88</v>
      </c>
      <c r="L865" s="387" t="s">
        <v>604</v>
      </c>
    </row>
    <row r="866" spans="1:12" hidden="1">
      <c r="A866" s="385" t="s">
        <v>345</v>
      </c>
      <c r="B866" s="385" t="s">
        <v>275</v>
      </c>
      <c r="C866" s="385" t="s">
        <v>525</v>
      </c>
      <c r="D866" s="385" t="s">
        <v>380</v>
      </c>
      <c r="E866" s="385" t="s">
        <v>19</v>
      </c>
      <c r="F866" s="385" t="s">
        <v>471</v>
      </c>
      <c r="G866" s="385" t="s">
        <v>19</v>
      </c>
      <c r="H866" s="386">
        <v>0</v>
      </c>
      <c r="I866" s="386">
        <v>291359</v>
      </c>
      <c r="J866" s="386">
        <v>0</v>
      </c>
      <c r="K866" s="386">
        <v>178480</v>
      </c>
      <c r="L866" s="387" t="s">
        <v>472</v>
      </c>
    </row>
    <row r="867" spans="1:12" hidden="1">
      <c r="A867" s="385" t="s">
        <v>345</v>
      </c>
      <c r="B867" s="385" t="s">
        <v>275</v>
      </c>
      <c r="C867" s="385" t="s">
        <v>525</v>
      </c>
      <c r="D867" s="385" t="s">
        <v>380</v>
      </c>
      <c r="E867" s="385" t="s">
        <v>19</v>
      </c>
      <c r="F867" s="385" t="s">
        <v>473</v>
      </c>
      <c r="G867" s="385" t="s">
        <v>19</v>
      </c>
      <c r="H867" s="386">
        <v>0</v>
      </c>
      <c r="I867" s="386">
        <v>14926</v>
      </c>
      <c r="J867" s="386">
        <v>0</v>
      </c>
      <c r="K867" s="386">
        <v>9992</v>
      </c>
      <c r="L867" s="387" t="s">
        <v>474</v>
      </c>
    </row>
    <row r="868" spans="1:12" hidden="1">
      <c r="A868" s="385" t="s">
        <v>345</v>
      </c>
      <c r="B868" s="385" t="s">
        <v>275</v>
      </c>
      <c r="C868" s="385" t="s">
        <v>525</v>
      </c>
      <c r="D868" s="385" t="s">
        <v>380</v>
      </c>
      <c r="E868" s="385" t="s">
        <v>19</v>
      </c>
      <c r="F868" s="385" t="s">
        <v>479</v>
      </c>
      <c r="G868" s="385" t="s">
        <v>19</v>
      </c>
      <c r="H868" s="386">
        <v>0</v>
      </c>
      <c r="I868" s="386">
        <v>1382</v>
      </c>
      <c r="J868" s="386">
        <v>0</v>
      </c>
      <c r="K868" s="386">
        <v>316.81</v>
      </c>
      <c r="L868" s="387" t="s">
        <v>480</v>
      </c>
    </row>
    <row r="869" spans="1:12" hidden="1">
      <c r="A869" s="385" t="s">
        <v>345</v>
      </c>
      <c r="B869" s="385" t="s">
        <v>275</v>
      </c>
      <c r="C869" s="385" t="s">
        <v>526</v>
      </c>
      <c r="D869" s="385" t="s">
        <v>380</v>
      </c>
      <c r="E869" s="385" t="s">
        <v>19</v>
      </c>
      <c r="F869" s="385" t="s">
        <v>471</v>
      </c>
      <c r="G869" s="385" t="s">
        <v>19</v>
      </c>
      <c r="H869" s="386">
        <v>0</v>
      </c>
      <c r="I869" s="386">
        <v>41525</v>
      </c>
      <c r="J869" s="386">
        <v>0</v>
      </c>
      <c r="K869" s="386">
        <v>25434</v>
      </c>
      <c r="L869" s="387" t="s">
        <v>472</v>
      </c>
    </row>
    <row r="870" spans="1:12" hidden="1">
      <c r="A870" s="385" t="s">
        <v>345</v>
      </c>
      <c r="B870" s="385" t="s">
        <v>275</v>
      </c>
      <c r="C870" s="385" t="s">
        <v>526</v>
      </c>
      <c r="D870" s="385" t="s">
        <v>380</v>
      </c>
      <c r="E870" s="385" t="s">
        <v>19</v>
      </c>
      <c r="F870" s="385" t="s">
        <v>473</v>
      </c>
      <c r="G870" s="385" t="s">
        <v>19</v>
      </c>
      <c r="H870" s="386">
        <v>0</v>
      </c>
      <c r="I870" s="386">
        <v>2136</v>
      </c>
      <c r="J870" s="386">
        <v>0</v>
      </c>
      <c r="K870" s="386">
        <v>1424</v>
      </c>
      <c r="L870" s="387" t="s">
        <v>474</v>
      </c>
    </row>
    <row r="871" spans="1:12" hidden="1">
      <c r="A871" s="385" t="s">
        <v>345</v>
      </c>
      <c r="B871" s="385" t="s">
        <v>275</v>
      </c>
      <c r="C871" s="385" t="s">
        <v>526</v>
      </c>
      <c r="D871" s="385" t="s">
        <v>380</v>
      </c>
      <c r="E871" s="385" t="s">
        <v>19</v>
      </c>
      <c r="F871" s="385" t="s">
        <v>479</v>
      </c>
      <c r="G871" s="385" t="s">
        <v>19</v>
      </c>
      <c r="H871" s="386">
        <v>0</v>
      </c>
      <c r="I871" s="386">
        <v>198</v>
      </c>
      <c r="J871" s="386">
        <v>0</v>
      </c>
      <c r="K871" s="386">
        <v>45.39</v>
      </c>
      <c r="L871" s="387" t="s">
        <v>480</v>
      </c>
    </row>
    <row r="872" spans="1:12" hidden="1">
      <c r="A872" s="385" t="s">
        <v>345</v>
      </c>
      <c r="B872" s="385" t="s">
        <v>275</v>
      </c>
      <c r="C872" s="385" t="s">
        <v>594</v>
      </c>
      <c r="D872" s="385" t="s">
        <v>380</v>
      </c>
      <c r="E872" s="385" t="s">
        <v>19</v>
      </c>
      <c r="F872" s="385" t="s">
        <v>471</v>
      </c>
      <c r="G872" s="385" t="s">
        <v>19</v>
      </c>
      <c r="H872" s="386">
        <v>0</v>
      </c>
      <c r="I872" s="386">
        <v>1575934</v>
      </c>
      <c r="J872" s="386">
        <v>0</v>
      </c>
      <c r="K872" s="386">
        <v>1009812</v>
      </c>
      <c r="L872" s="387" t="s">
        <v>472</v>
      </c>
    </row>
    <row r="873" spans="1:12" hidden="1">
      <c r="A873" s="385" t="s">
        <v>345</v>
      </c>
      <c r="B873" s="385" t="s">
        <v>275</v>
      </c>
      <c r="C873" s="385" t="s">
        <v>594</v>
      </c>
      <c r="D873" s="385" t="s">
        <v>380</v>
      </c>
      <c r="E873" s="385" t="s">
        <v>19</v>
      </c>
      <c r="F873" s="385" t="s">
        <v>473</v>
      </c>
      <c r="G873" s="385" t="s">
        <v>19</v>
      </c>
      <c r="H873" s="386">
        <v>0</v>
      </c>
      <c r="I873" s="386">
        <v>80838</v>
      </c>
      <c r="J873" s="386">
        <v>0</v>
      </c>
      <c r="K873" s="386">
        <v>53850.65</v>
      </c>
      <c r="L873" s="387" t="s">
        <v>474</v>
      </c>
    </row>
    <row r="874" spans="1:12" hidden="1">
      <c r="A874" s="385" t="s">
        <v>345</v>
      </c>
      <c r="B874" s="385" t="s">
        <v>275</v>
      </c>
      <c r="C874" s="385" t="s">
        <v>594</v>
      </c>
      <c r="D874" s="385" t="s">
        <v>380</v>
      </c>
      <c r="E874" s="385" t="s">
        <v>19</v>
      </c>
      <c r="F874" s="385" t="s">
        <v>479</v>
      </c>
      <c r="G874" s="385" t="s">
        <v>19</v>
      </c>
      <c r="H874" s="386">
        <v>0</v>
      </c>
      <c r="I874" s="386">
        <v>5763</v>
      </c>
      <c r="J874" s="386">
        <v>0</v>
      </c>
      <c r="K874" s="386">
        <v>0</v>
      </c>
      <c r="L874" s="387" t="s">
        <v>480</v>
      </c>
    </row>
    <row r="875" spans="1:12" hidden="1">
      <c r="A875" s="385" t="s">
        <v>345</v>
      </c>
      <c r="B875" s="385" t="s">
        <v>275</v>
      </c>
      <c r="C875" s="385" t="s">
        <v>595</v>
      </c>
      <c r="D875" s="385" t="s">
        <v>380</v>
      </c>
      <c r="E875" s="385" t="s">
        <v>19</v>
      </c>
      <c r="F875" s="385" t="s">
        <v>479</v>
      </c>
      <c r="G875" s="385" t="s">
        <v>19</v>
      </c>
      <c r="H875" s="386">
        <v>0</v>
      </c>
      <c r="I875" s="386">
        <v>2317</v>
      </c>
      <c r="J875" s="386">
        <v>0</v>
      </c>
      <c r="K875" s="386">
        <v>1852.71</v>
      </c>
      <c r="L875" s="387" t="s">
        <v>480</v>
      </c>
    </row>
    <row r="876" spans="1:12" hidden="1">
      <c r="A876" s="385" t="s">
        <v>345</v>
      </c>
      <c r="B876" s="385" t="s">
        <v>275</v>
      </c>
      <c r="C876" s="385" t="s">
        <v>595</v>
      </c>
      <c r="D876" s="385" t="s">
        <v>380</v>
      </c>
      <c r="E876" s="385" t="s">
        <v>19</v>
      </c>
      <c r="F876" s="385" t="s">
        <v>471</v>
      </c>
      <c r="G876" s="385" t="s">
        <v>19</v>
      </c>
      <c r="H876" s="386">
        <v>0</v>
      </c>
      <c r="I876" s="386">
        <v>118997</v>
      </c>
      <c r="J876" s="386">
        <v>0</v>
      </c>
      <c r="K876" s="386">
        <v>118997</v>
      </c>
      <c r="L876" s="387" t="s">
        <v>472</v>
      </c>
    </row>
    <row r="877" spans="1:12" hidden="1">
      <c r="A877" s="385" t="s">
        <v>345</v>
      </c>
      <c r="B877" s="385" t="s">
        <v>275</v>
      </c>
      <c r="C877" s="385" t="s">
        <v>595</v>
      </c>
      <c r="D877" s="385" t="s">
        <v>380</v>
      </c>
      <c r="E877" s="385" t="s">
        <v>19</v>
      </c>
      <c r="F877" s="385" t="s">
        <v>473</v>
      </c>
      <c r="G877" s="385" t="s">
        <v>19</v>
      </c>
      <c r="H877" s="386">
        <v>0</v>
      </c>
      <c r="I877" s="386">
        <v>6413</v>
      </c>
      <c r="J877" s="386">
        <v>0</v>
      </c>
      <c r="K877" s="386">
        <v>6413</v>
      </c>
      <c r="L877" s="387" t="s">
        <v>474</v>
      </c>
    </row>
    <row r="878" spans="1:12" hidden="1">
      <c r="A878" s="385" t="s">
        <v>345</v>
      </c>
      <c r="B878" s="385" t="s">
        <v>346</v>
      </c>
      <c r="C878" s="385" t="s">
        <v>762</v>
      </c>
      <c r="D878" s="385" t="s">
        <v>380</v>
      </c>
      <c r="E878" s="385" t="s">
        <v>19</v>
      </c>
      <c r="F878" s="385" t="s">
        <v>760</v>
      </c>
      <c r="G878" s="385" t="s">
        <v>12</v>
      </c>
      <c r="H878" s="386">
        <v>0</v>
      </c>
      <c r="I878" s="386">
        <v>0</v>
      </c>
      <c r="J878" s="386">
        <v>0</v>
      </c>
      <c r="K878" s="386">
        <v>0</v>
      </c>
      <c r="L878" s="387" t="s">
        <v>761</v>
      </c>
    </row>
    <row r="879" spans="1:12" ht="25.5" hidden="1">
      <c r="A879" s="385" t="s">
        <v>345</v>
      </c>
      <c r="B879" s="385" t="s">
        <v>346</v>
      </c>
      <c r="C879" s="385" t="s">
        <v>762</v>
      </c>
      <c r="D879" s="385" t="s">
        <v>380</v>
      </c>
      <c r="E879" s="385" t="s">
        <v>19</v>
      </c>
      <c r="F879" s="385" t="s">
        <v>758</v>
      </c>
      <c r="G879" s="385" t="s">
        <v>12</v>
      </c>
      <c r="H879" s="386">
        <v>0</v>
      </c>
      <c r="I879" s="386">
        <v>9202.92</v>
      </c>
      <c r="J879" s="386">
        <v>0</v>
      </c>
      <c r="K879" s="386">
        <v>9202.92</v>
      </c>
      <c r="L879" s="387" t="s">
        <v>759</v>
      </c>
    </row>
    <row r="880" spans="1:12" ht="25.5" hidden="1">
      <c r="A880" s="385" t="s">
        <v>345</v>
      </c>
      <c r="B880" s="385" t="s">
        <v>346</v>
      </c>
      <c r="C880" s="385" t="s">
        <v>528</v>
      </c>
      <c r="D880" s="385" t="s">
        <v>380</v>
      </c>
      <c r="E880" s="385" t="s">
        <v>19</v>
      </c>
      <c r="F880" s="385" t="s">
        <v>488</v>
      </c>
      <c r="G880" s="385" t="s">
        <v>19</v>
      </c>
      <c r="H880" s="386">
        <v>0</v>
      </c>
      <c r="I880" s="386">
        <v>0</v>
      </c>
      <c r="J880" s="386">
        <v>0</v>
      </c>
      <c r="K880" s="386">
        <v>0</v>
      </c>
      <c r="L880" s="387" t="s">
        <v>489</v>
      </c>
    </row>
    <row r="881" spans="1:12" hidden="1">
      <c r="A881" s="385" t="s">
        <v>345</v>
      </c>
      <c r="B881" s="385" t="s">
        <v>346</v>
      </c>
      <c r="C881" s="385" t="s">
        <v>528</v>
      </c>
      <c r="D881" s="385" t="s">
        <v>380</v>
      </c>
      <c r="E881" s="385" t="s">
        <v>19</v>
      </c>
      <c r="F881" s="385" t="s">
        <v>482</v>
      </c>
      <c r="G881" s="385" t="s">
        <v>19</v>
      </c>
      <c r="H881" s="386">
        <v>0</v>
      </c>
      <c r="I881" s="386">
        <v>0</v>
      </c>
      <c r="J881" s="386">
        <v>0</v>
      </c>
      <c r="K881" s="386">
        <v>0</v>
      </c>
      <c r="L881" s="387" t="s">
        <v>483</v>
      </c>
    </row>
    <row r="882" spans="1:12" ht="25.5" hidden="1">
      <c r="A882" s="385" t="s">
        <v>345</v>
      </c>
      <c r="B882" s="385" t="s">
        <v>346</v>
      </c>
      <c r="C882" s="385" t="s">
        <v>528</v>
      </c>
      <c r="D882" s="385" t="s">
        <v>380</v>
      </c>
      <c r="E882" s="385" t="s">
        <v>19</v>
      </c>
      <c r="F882" s="385" t="s">
        <v>488</v>
      </c>
      <c r="G882" s="385" t="s">
        <v>12</v>
      </c>
      <c r="H882" s="386">
        <v>0</v>
      </c>
      <c r="I882" s="386">
        <v>396.81</v>
      </c>
      <c r="J882" s="386">
        <v>0</v>
      </c>
      <c r="K882" s="386">
        <v>0</v>
      </c>
      <c r="L882" s="387" t="s">
        <v>489</v>
      </c>
    </row>
    <row r="883" spans="1:12" ht="25.5" hidden="1">
      <c r="A883" s="385" t="s">
        <v>345</v>
      </c>
      <c r="B883" s="385" t="s">
        <v>346</v>
      </c>
      <c r="C883" s="385" t="s">
        <v>598</v>
      </c>
      <c r="D883" s="385" t="s">
        <v>380</v>
      </c>
      <c r="E883" s="385" t="s">
        <v>19</v>
      </c>
      <c r="F883" s="385" t="s">
        <v>475</v>
      </c>
      <c r="G883" s="385" t="s">
        <v>12</v>
      </c>
      <c r="H883" s="386">
        <v>0</v>
      </c>
      <c r="I883" s="386">
        <v>8857.15</v>
      </c>
      <c r="J883" s="386">
        <v>0</v>
      </c>
      <c r="K883" s="386">
        <v>0</v>
      </c>
      <c r="L883" s="387" t="s">
        <v>476</v>
      </c>
    </row>
    <row r="884" spans="1:12" ht="25.5" hidden="1">
      <c r="A884" s="385" t="s">
        <v>345</v>
      </c>
      <c r="B884" s="385" t="s">
        <v>346</v>
      </c>
      <c r="C884" s="385" t="s">
        <v>598</v>
      </c>
      <c r="D884" s="385" t="s">
        <v>380</v>
      </c>
      <c r="E884" s="385" t="s">
        <v>19</v>
      </c>
      <c r="F884" s="385" t="s">
        <v>477</v>
      </c>
      <c r="G884" s="385" t="s">
        <v>12</v>
      </c>
      <c r="H884" s="386">
        <v>0</v>
      </c>
      <c r="I884" s="386">
        <v>21624.39</v>
      </c>
      <c r="J884" s="386">
        <v>0</v>
      </c>
      <c r="K884" s="386">
        <v>0</v>
      </c>
      <c r="L884" s="387" t="s">
        <v>478</v>
      </c>
    </row>
    <row r="885" spans="1:12" hidden="1">
      <c r="A885" s="385" t="s">
        <v>345</v>
      </c>
      <c r="B885" s="385" t="s">
        <v>346</v>
      </c>
      <c r="C885" s="385" t="s">
        <v>590</v>
      </c>
      <c r="D885" s="385" t="s">
        <v>380</v>
      </c>
      <c r="E885" s="385" t="s">
        <v>19</v>
      </c>
      <c r="F885" s="385" t="s">
        <v>482</v>
      </c>
      <c r="G885" s="385" t="s">
        <v>19</v>
      </c>
      <c r="H885" s="386">
        <v>0</v>
      </c>
      <c r="I885" s="386">
        <v>148.5</v>
      </c>
      <c r="J885" s="386">
        <v>0</v>
      </c>
      <c r="K885" s="386">
        <v>0</v>
      </c>
      <c r="L885" s="387" t="s">
        <v>483</v>
      </c>
    </row>
    <row r="886" spans="1:12" hidden="1">
      <c r="A886" s="385" t="s">
        <v>345</v>
      </c>
      <c r="B886" s="385" t="s">
        <v>364</v>
      </c>
      <c r="C886" s="385" t="s">
        <v>694</v>
      </c>
      <c r="D886" s="385" t="s">
        <v>380</v>
      </c>
      <c r="E886" s="385" t="s">
        <v>19</v>
      </c>
      <c r="F886" s="385" t="s">
        <v>661</v>
      </c>
      <c r="G886" s="385" t="s">
        <v>19</v>
      </c>
      <c r="H886" s="386">
        <v>0</v>
      </c>
      <c r="I886" s="386">
        <v>317449.5</v>
      </c>
      <c r="J886" s="386">
        <v>0</v>
      </c>
      <c r="K886" s="386">
        <v>0</v>
      </c>
      <c r="L886" s="387" t="s">
        <v>662</v>
      </c>
    </row>
    <row r="887" spans="1:12" hidden="1">
      <c r="A887" s="385" t="s">
        <v>345</v>
      </c>
      <c r="B887" s="385" t="s">
        <v>364</v>
      </c>
      <c r="C887" s="385" t="s">
        <v>763</v>
      </c>
      <c r="D887" s="385" t="s">
        <v>380</v>
      </c>
      <c r="E887" s="385" t="s">
        <v>19</v>
      </c>
      <c r="F887" s="385" t="s">
        <v>661</v>
      </c>
      <c r="G887" s="385" t="s">
        <v>19</v>
      </c>
      <c r="H887" s="386">
        <v>0</v>
      </c>
      <c r="I887" s="386">
        <v>56020.5</v>
      </c>
      <c r="J887" s="386">
        <v>0</v>
      </c>
      <c r="K887" s="386">
        <v>0</v>
      </c>
      <c r="L887" s="387" t="s">
        <v>662</v>
      </c>
    </row>
    <row r="888" spans="1:12" ht="25.5" hidden="1">
      <c r="A888" s="385" t="s">
        <v>345</v>
      </c>
      <c r="B888" s="385" t="s">
        <v>364</v>
      </c>
      <c r="C888" s="385" t="s">
        <v>521</v>
      </c>
      <c r="D888" s="385" t="s">
        <v>380</v>
      </c>
      <c r="E888" s="385" t="s">
        <v>19</v>
      </c>
      <c r="F888" s="385" t="s">
        <v>488</v>
      </c>
      <c r="G888" s="385" t="s">
        <v>19</v>
      </c>
      <c r="H888" s="386">
        <v>0</v>
      </c>
      <c r="I888" s="386">
        <v>103360</v>
      </c>
      <c r="J888" s="386">
        <v>0</v>
      </c>
      <c r="K888" s="386">
        <v>0</v>
      </c>
      <c r="L888" s="387" t="s">
        <v>489</v>
      </c>
    </row>
    <row r="889" spans="1:12" ht="38.25" hidden="1">
      <c r="A889" s="385" t="s">
        <v>345</v>
      </c>
      <c r="B889" s="385" t="s">
        <v>364</v>
      </c>
      <c r="C889" s="385" t="s">
        <v>686</v>
      </c>
      <c r="D889" s="385" t="s">
        <v>380</v>
      </c>
      <c r="E889" s="385" t="s">
        <v>19</v>
      </c>
      <c r="F889" s="385" t="s">
        <v>749</v>
      </c>
      <c r="G889" s="385" t="s">
        <v>19</v>
      </c>
      <c r="H889" s="386">
        <v>0</v>
      </c>
      <c r="I889" s="386">
        <v>352402.46</v>
      </c>
      <c r="J889" s="386">
        <v>0</v>
      </c>
      <c r="K889" s="386">
        <v>351441.04</v>
      </c>
      <c r="L889" s="387" t="s">
        <v>750</v>
      </c>
    </row>
    <row r="890" spans="1:12" ht="38.25" hidden="1">
      <c r="A890" s="385" t="s">
        <v>345</v>
      </c>
      <c r="B890" s="385" t="s">
        <v>364</v>
      </c>
      <c r="C890" s="385" t="s">
        <v>764</v>
      </c>
      <c r="D890" s="385" t="s">
        <v>380</v>
      </c>
      <c r="E890" s="385" t="s">
        <v>19</v>
      </c>
      <c r="F890" s="385" t="s">
        <v>749</v>
      </c>
      <c r="G890" s="385" t="s">
        <v>19</v>
      </c>
      <c r="H890" s="386">
        <v>0</v>
      </c>
      <c r="I890" s="386">
        <v>1927.04</v>
      </c>
      <c r="J890" s="386">
        <v>0</v>
      </c>
      <c r="K890" s="386">
        <v>1926.02</v>
      </c>
      <c r="L890" s="387" t="s">
        <v>750</v>
      </c>
    </row>
    <row r="891" spans="1:12" ht="25.5">
      <c r="A891" s="385" t="s">
        <v>345</v>
      </c>
      <c r="B891" s="385" t="s">
        <v>364</v>
      </c>
      <c r="C891" s="385" t="s">
        <v>607</v>
      </c>
      <c r="D891" s="385" t="s">
        <v>380</v>
      </c>
      <c r="E891" s="385" t="s">
        <v>19</v>
      </c>
      <c r="F891" s="385" t="s">
        <v>747</v>
      </c>
      <c r="G891" s="385" t="s">
        <v>19</v>
      </c>
      <c r="H891" s="386">
        <v>0</v>
      </c>
      <c r="I891" s="386">
        <v>247887.35999999999</v>
      </c>
      <c r="J891" s="386">
        <v>0</v>
      </c>
      <c r="K891" s="386">
        <v>227322.88</v>
      </c>
      <c r="L891" s="387" t="s">
        <v>748</v>
      </c>
    </row>
    <row r="892" spans="1:12" hidden="1">
      <c r="A892" s="385" t="s">
        <v>345</v>
      </c>
      <c r="B892" s="385" t="s">
        <v>364</v>
      </c>
      <c r="C892" s="385" t="s">
        <v>765</v>
      </c>
      <c r="D892" s="385" t="s">
        <v>380</v>
      </c>
      <c r="E892" s="385" t="s">
        <v>19</v>
      </c>
      <c r="F892" s="385" t="s">
        <v>661</v>
      </c>
      <c r="G892" s="385" t="s">
        <v>19</v>
      </c>
      <c r="H892" s="386">
        <v>0</v>
      </c>
      <c r="I892" s="386">
        <v>408000</v>
      </c>
      <c r="J892" s="386">
        <v>0</v>
      </c>
      <c r="K892" s="386">
        <v>85680</v>
      </c>
      <c r="L892" s="387" t="s">
        <v>662</v>
      </c>
    </row>
    <row r="893" spans="1:12" hidden="1">
      <c r="A893" s="385" t="s">
        <v>345</v>
      </c>
      <c r="B893" s="385" t="s">
        <v>364</v>
      </c>
      <c r="C893" s="385" t="s">
        <v>766</v>
      </c>
      <c r="D893" s="385" t="s">
        <v>380</v>
      </c>
      <c r="E893" s="385" t="s">
        <v>19</v>
      </c>
      <c r="F893" s="385" t="s">
        <v>661</v>
      </c>
      <c r="G893" s="385" t="s">
        <v>19</v>
      </c>
      <c r="H893" s="386">
        <v>0</v>
      </c>
      <c r="I893" s="386">
        <v>72000</v>
      </c>
      <c r="J893" s="386">
        <v>0</v>
      </c>
      <c r="K893" s="386">
        <v>15120</v>
      </c>
      <c r="L893" s="387" t="s">
        <v>662</v>
      </c>
    </row>
    <row r="894" spans="1:12" ht="25.5" hidden="1">
      <c r="A894" s="385" t="s">
        <v>345</v>
      </c>
      <c r="B894" s="385" t="s">
        <v>364</v>
      </c>
      <c r="C894" s="385" t="s">
        <v>523</v>
      </c>
      <c r="D894" s="385" t="s">
        <v>380</v>
      </c>
      <c r="E894" s="385" t="s">
        <v>19</v>
      </c>
      <c r="F894" s="385" t="s">
        <v>468</v>
      </c>
      <c r="G894" s="385" t="s">
        <v>434</v>
      </c>
      <c r="H894" s="386">
        <v>0</v>
      </c>
      <c r="I894" s="386">
        <v>23000</v>
      </c>
      <c r="J894" s="386">
        <v>0</v>
      </c>
      <c r="K894" s="386">
        <v>0</v>
      </c>
      <c r="L894" s="387" t="s">
        <v>365</v>
      </c>
    </row>
    <row r="895" spans="1:12" ht="38.25" hidden="1">
      <c r="A895" s="385" t="s">
        <v>345</v>
      </c>
      <c r="B895" s="385" t="s">
        <v>364</v>
      </c>
      <c r="C895" s="385" t="s">
        <v>617</v>
      </c>
      <c r="D895" s="385" t="s">
        <v>380</v>
      </c>
      <c r="E895" s="385" t="s">
        <v>19</v>
      </c>
      <c r="F895" s="385" t="s">
        <v>749</v>
      </c>
      <c r="G895" s="385" t="s">
        <v>19</v>
      </c>
      <c r="H895" s="386">
        <v>0</v>
      </c>
      <c r="I895" s="386">
        <v>7980.96</v>
      </c>
      <c r="J895" s="386">
        <v>0</v>
      </c>
      <c r="K895" s="386">
        <v>7980.96</v>
      </c>
      <c r="L895" s="387" t="s">
        <v>750</v>
      </c>
    </row>
    <row r="896" spans="1:12" ht="25.5">
      <c r="A896" s="385" t="s">
        <v>345</v>
      </c>
      <c r="B896" s="385" t="s">
        <v>364</v>
      </c>
      <c r="C896" s="385" t="s">
        <v>617</v>
      </c>
      <c r="D896" s="385" t="s">
        <v>380</v>
      </c>
      <c r="E896" s="385" t="s">
        <v>19</v>
      </c>
      <c r="F896" s="385" t="s">
        <v>747</v>
      </c>
      <c r="G896" s="385" t="s">
        <v>19</v>
      </c>
      <c r="H896" s="386">
        <v>0</v>
      </c>
      <c r="I896" s="386">
        <v>26247.69</v>
      </c>
      <c r="J896" s="386">
        <v>0</v>
      </c>
      <c r="K896" s="386">
        <v>2000</v>
      </c>
      <c r="L896" s="387" t="s">
        <v>748</v>
      </c>
    </row>
    <row r="897" spans="1:12" hidden="1">
      <c r="A897" s="385" t="s">
        <v>345</v>
      </c>
      <c r="B897" s="385" t="s">
        <v>364</v>
      </c>
      <c r="C897" s="385" t="s">
        <v>617</v>
      </c>
      <c r="D897" s="385" t="s">
        <v>380</v>
      </c>
      <c r="E897" s="385" t="s">
        <v>19</v>
      </c>
      <c r="F897" s="385" t="s">
        <v>661</v>
      </c>
      <c r="G897" s="385" t="s">
        <v>19</v>
      </c>
      <c r="H897" s="386">
        <v>0</v>
      </c>
      <c r="I897" s="386">
        <v>17040.830000000002</v>
      </c>
      <c r="J897" s="386">
        <v>0</v>
      </c>
      <c r="K897" s="386">
        <v>9410.6299999999992</v>
      </c>
      <c r="L897" s="387" t="s">
        <v>662</v>
      </c>
    </row>
    <row r="898" spans="1:12" hidden="1">
      <c r="A898" s="385" t="s">
        <v>345</v>
      </c>
      <c r="B898" s="385" t="s">
        <v>364</v>
      </c>
      <c r="C898" s="385" t="s">
        <v>618</v>
      </c>
      <c r="D898" s="385" t="s">
        <v>380</v>
      </c>
      <c r="E898" s="385" t="s">
        <v>19</v>
      </c>
      <c r="F898" s="385" t="s">
        <v>661</v>
      </c>
      <c r="G898" s="385" t="s">
        <v>19</v>
      </c>
      <c r="H898" s="386">
        <v>0</v>
      </c>
      <c r="I898" s="386">
        <v>2794.17</v>
      </c>
      <c r="J898" s="386">
        <v>0</v>
      </c>
      <c r="K898" s="386">
        <v>1660.69</v>
      </c>
      <c r="L898" s="387" t="s">
        <v>662</v>
      </c>
    </row>
    <row r="899" spans="1:12" ht="25.5" hidden="1">
      <c r="A899" s="385" t="s">
        <v>345</v>
      </c>
      <c r="B899" s="385" t="s">
        <v>364</v>
      </c>
      <c r="C899" s="385" t="s">
        <v>525</v>
      </c>
      <c r="D899" s="385" t="s">
        <v>380</v>
      </c>
      <c r="E899" s="385" t="s">
        <v>19</v>
      </c>
      <c r="F899" s="385" t="s">
        <v>468</v>
      </c>
      <c r="G899" s="385" t="s">
        <v>434</v>
      </c>
      <c r="H899" s="386">
        <v>0</v>
      </c>
      <c r="I899" s="386">
        <v>24100</v>
      </c>
      <c r="J899" s="386">
        <v>0</v>
      </c>
      <c r="K899" s="386">
        <v>11042.19</v>
      </c>
      <c r="L899" s="387" t="s">
        <v>365</v>
      </c>
    </row>
    <row r="900" spans="1:12" ht="38.25" hidden="1">
      <c r="A900" s="385" t="s">
        <v>345</v>
      </c>
      <c r="B900" s="385" t="s">
        <v>364</v>
      </c>
      <c r="C900" s="385" t="s">
        <v>619</v>
      </c>
      <c r="D900" s="385" t="s">
        <v>380</v>
      </c>
      <c r="E900" s="385" t="s">
        <v>19</v>
      </c>
      <c r="F900" s="385" t="s">
        <v>749</v>
      </c>
      <c r="G900" s="385" t="s">
        <v>19</v>
      </c>
      <c r="H900" s="386">
        <v>0</v>
      </c>
      <c r="I900" s="386">
        <v>4123.71</v>
      </c>
      <c r="J900" s="386">
        <v>0</v>
      </c>
      <c r="K900" s="386">
        <v>4123.71</v>
      </c>
      <c r="L900" s="387" t="s">
        <v>750</v>
      </c>
    </row>
    <row r="901" spans="1:12" hidden="1">
      <c r="A901" s="385" t="s">
        <v>345</v>
      </c>
      <c r="B901" s="385" t="s">
        <v>364</v>
      </c>
      <c r="C901" s="385" t="s">
        <v>619</v>
      </c>
      <c r="D901" s="385" t="s">
        <v>380</v>
      </c>
      <c r="E901" s="385" t="s">
        <v>19</v>
      </c>
      <c r="F901" s="385" t="s">
        <v>661</v>
      </c>
      <c r="G901" s="385" t="s">
        <v>19</v>
      </c>
      <c r="H901" s="386">
        <v>0</v>
      </c>
      <c r="I901" s="386">
        <v>52622.05</v>
      </c>
      <c r="J901" s="386">
        <v>0</v>
      </c>
      <c r="K901" s="386">
        <v>18801.05</v>
      </c>
      <c r="L901" s="387" t="s">
        <v>662</v>
      </c>
    </row>
    <row r="902" spans="1:12" ht="25.5">
      <c r="A902" s="385" t="s">
        <v>345</v>
      </c>
      <c r="B902" s="385" t="s">
        <v>364</v>
      </c>
      <c r="C902" s="385" t="s">
        <v>619</v>
      </c>
      <c r="D902" s="385" t="s">
        <v>380</v>
      </c>
      <c r="E902" s="385" t="s">
        <v>19</v>
      </c>
      <c r="F902" s="385" t="s">
        <v>747</v>
      </c>
      <c r="G902" s="385" t="s">
        <v>19</v>
      </c>
      <c r="H902" s="386">
        <v>0</v>
      </c>
      <c r="I902" s="386">
        <v>20348.080000000002</v>
      </c>
      <c r="J902" s="386">
        <v>0</v>
      </c>
      <c r="K902" s="386">
        <v>1851.06</v>
      </c>
      <c r="L902" s="387" t="s">
        <v>748</v>
      </c>
    </row>
    <row r="903" spans="1:12" hidden="1">
      <c r="A903" s="385" t="s">
        <v>345</v>
      </c>
      <c r="B903" s="385" t="s">
        <v>364</v>
      </c>
      <c r="C903" s="385" t="s">
        <v>620</v>
      </c>
      <c r="D903" s="385" t="s">
        <v>380</v>
      </c>
      <c r="E903" s="385" t="s">
        <v>19</v>
      </c>
      <c r="F903" s="385" t="s">
        <v>661</v>
      </c>
      <c r="G903" s="385" t="s">
        <v>19</v>
      </c>
      <c r="H903" s="386">
        <v>0</v>
      </c>
      <c r="I903" s="386">
        <v>9295.4599999999991</v>
      </c>
      <c r="J903" s="386">
        <v>0</v>
      </c>
      <c r="K903" s="386">
        <v>3317.83</v>
      </c>
      <c r="L903" s="387" t="s">
        <v>662</v>
      </c>
    </row>
    <row r="904" spans="1:12" ht="25.5" hidden="1">
      <c r="A904" s="385" t="s">
        <v>345</v>
      </c>
      <c r="B904" s="385" t="s">
        <v>364</v>
      </c>
      <c r="C904" s="385" t="s">
        <v>526</v>
      </c>
      <c r="D904" s="385" t="s">
        <v>380</v>
      </c>
      <c r="E904" s="385" t="s">
        <v>19</v>
      </c>
      <c r="F904" s="385" t="s">
        <v>468</v>
      </c>
      <c r="G904" s="385" t="s">
        <v>434</v>
      </c>
      <c r="H904" s="386">
        <v>0</v>
      </c>
      <c r="I904" s="386">
        <v>3000</v>
      </c>
      <c r="J904" s="386">
        <v>0</v>
      </c>
      <c r="K904" s="386">
        <v>719.87</v>
      </c>
      <c r="L904" s="387" t="s">
        <v>365</v>
      </c>
    </row>
    <row r="905" spans="1:12" ht="25.5">
      <c r="A905" s="385" t="s">
        <v>345</v>
      </c>
      <c r="B905" s="385" t="s">
        <v>364</v>
      </c>
      <c r="C905" s="385" t="s">
        <v>621</v>
      </c>
      <c r="D905" s="385" t="s">
        <v>380</v>
      </c>
      <c r="E905" s="385" t="s">
        <v>19</v>
      </c>
      <c r="F905" s="385" t="s">
        <v>747</v>
      </c>
      <c r="G905" s="385" t="s">
        <v>19</v>
      </c>
      <c r="H905" s="386">
        <v>0</v>
      </c>
      <c r="I905" s="386">
        <v>2944.55</v>
      </c>
      <c r="J905" s="386">
        <v>0</v>
      </c>
      <c r="K905" s="386">
        <v>97.2</v>
      </c>
      <c r="L905" s="387" t="s">
        <v>748</v>
      </c>
    </row>
    <row r="906" spans="1:12" ht="38.25" hidden="1">
      <c r="A906" s="385" t="s">
        <v>345</v>
      </c>
      <c r="B906" s="385" t="s">
        <v>364</v>
      </c>
      <c r="C906" s="385" t="s">
        <v>621</v>
      </c>
      <c r="D906" s="385" t="s">
        <v>380</v>
      </c>
      <c r="E906" s="385" t="s">
        <v>19</v>
      </c>
      <c r="F906" s="385" t="s">
        <v>749</v>
      </c>
      <c r="G906" s="385" t="s">
        <v>19</v>
      </c>
      <c r="H906" s="386">
        <v>0</v>
      </c>
      <c r="I906" s="386">
        <v>488.95</v>
      </c>
      <c r="J906" s="386">
        <v>0</v>
      </c>
      <c r="K906" s="386">
        <v>488.95</v>
      </c>
      <c r="L906" s="387" t="s">
        <v>750</v>
      </c>
    </row>
    <row r="907" spans="1:12" hidden="1">
      <c r="A907" s="385" t="s">
        <v>345</v>
      </c>
      <c r="B907" s="385" t="s">
        <v>364</v>
      </c>
      <c r="C907" s="385" t="s">
        <v>621</v>
      </c>
      <c r="D907" s="385" t="s">
        <v>380</v>
      </c>
      <c r="E907" s="385" t="s">
        <v>19</v>
      </c>
      <c r="F907" s="385" t="s">
        <v>661</v>
      </c>
      <c r="G907" s="385" t="s">
        <v>19</v>
      </c>
      <c r="H907" s="386">
        <v>0</v>
      </c>
      <c r="I907" s="386">
        <v>5304.83</v>
      </c>
      <c r="J907" s="386">
        <v>0</v>
      </c>
      <c r="K907" s="386">
        <v>1914.74</v>
      </c>
      <c r="L907" s="387" t="s">
        <v>662</v>
      </c>
    </row>
    <row r="908" spans="1:12" hidden="1">
      <c r="A908" s="385" t="s">
        <v>345</v>
      </c>
      <c r="B908" s="385" t="s">
        <v>364</v>
      </c>
      <c r="C908" s="385" t="s">
        <v>622</v>
      </c>
      <c r="D908" s="385" t="s">
        <v>380</v>
      </c>
      <c r="E908" s="385" t="s">
        <v>19</v>
      </c>
      <c r="F908" s="385" t="s">
        <v>661</v>
      </c>
      <c r="G908" s="385" t="s">
        <v>19</v>
      </c>
      <c r="H908" s="386">
        <v>0</v>
      </c>
      <c r="I908" s="386">
        <v>908.97</v>
      </c>
      <c r="J908" s="386">
        <v>0</v>
      </c>
      <c r="K908" s="386">
        <v>337.9</v>
      </c>
      <c r="L908" s="387" t="s">
        <v>662</v>
      </c>
    </row>
    <row r="909" spans="1:12" ht="25.5" hidden="1">
      <c r="A909" s="385" t="s">
        <v>345</v>
      </c>
      <c r="B909" s="385" t="s">
        <v>364</v>
      </c>
      <c r="C909" s="385" t="s">
        <v>527</v>
      </c>
      <c r="D909" s="385" t="s">
        <v>380</v>
      </c>
      <c r="E909" s="385" t="s">
        <v>19</v>
      </c>
      <c r="F909" s="385" t="s">
        <v>488</v>
      </c>
      <c r="G909" s="385" t="s">
        <v>19</v>
      </c>
      <c r="H909" s="386">
        <v>0</v>
      </c>
      <c r="I909" s="386">
        <v>4400</v>
      </c>
      <c r="J909" s="386">
        <v>0</v>
      </c>
      <c r="K909" s="386">
        <v>2640</v>
      </c>
      <c r="L909" s="387" t="s">
        <v>489</v>
      </c>
    </row>
    <row r="910" spans="1:12" ht="25.5" hidden="1">
      <c r="A910" s="385" t="s">
        <v>345</v>
      </c>
      <c r="B910" s="385" t="s">
        <v>364</v>
      </c>
      <c r="C910" s="385" t="s">
        <v>527</v>
      </c>
      <c r="D910" s="385" t="s">
        <v>380</v>
      </c>
      <c r="E910" s="385" t="s">
        <v>19</v>
      </c>
      <c r="F910" s="385" t="s">
        <v>468</v>
      </c>
      <c r="G910" s="385" t="s">
        <v>434</v>
      </c>
      <c r="H910" s="386">
        <v>0</v>
      </c>
      <c r="I910" s="386">
        <v>150000</v>
      </c>
      <c r="J910" s="386">
        <v>0</v>
      </c>
      <c r="K910" s="386">
        <v>71219.97</v>
      </c>
      <c r="L910" s="387" t="s">
        <v>365</v>
      </c>
    </row>
    <row r="911" spans="1:12" ht="38.25" hidden="1">
      <c r="A911" s="385" t="s">
        <v>345</v>
      </c>
      <c r="B911" s="385" t="s">
        <v>364</v>
      </c>
      <c r="C911" s="385" t="s">
        <v>623</v>
      </c>
      <c r="D911" s="385" t="s">
        <v>380</v>
      </c>
      <c r="E911" s="385" t="s">
        <v>19</v>
      </c>
      <c r="F911" s="385" t="s">
        <v>749</v>
      </c>
      <c r="G911" s="385" t="s">
        <v>19</v>
      </c>
      <c r="H911" s="386">
        <v>0</v>
      </c>
      <c r="I911" s="386">
        <v>3400</v>
      </c>
      <c r="J911" s="386">
        <v>0</v>
      </c>
      <c r="K911" s="386">
        <v>3330.91</v>
      </c>
      <c r="L911" s="387" t="s">
        <v>750</v>
      </c>
    </row>
    <row r="912" spans="1:12" ht="38.25" hidden="1">
      <c r="A912" s="385" t="s">
        <v>345</v>
      </c>
      <c r="B912" s="385" t="s">
        <v>364</v>
      </c>
      <c r="C912" s="385" t="s">
        <v>624</v>
      </c>
      <c r="D912" s="385" t="s">
        <v>380</v>
      </c>
      <c r="E912" s="385" t="s">
        <v>19</v>
      </c>
      <c r="F912" s="385" t="s">
        <v>749</v>
      </c>
      <c r="G912" s="385" t="s">
        <v>19</v>
      </c>
      <c r="H912" s="386">
        <v>0</v>
      </c>
      <c r="I912" s="386">
        <v>69.09</v>
      </c>
      <c r="J912" s="386">
        <v>0</v>
      </c>
      <c r="K912" s="386">
        <v>69.09</v>
      </c>
      <c r="L912" s="387" t="s">
        <v>750</v>
      </c>
    </row>
    <row r="913" spans="1:12" ht="25.5" hidden="1">
      <c r="A913" s="385" t="s">
        <v>345</v>
      </c>
      <c r="B913" s="385" t="s">
        <v>364</v>
      </c>
      <c r="C913" s="385" t="s">
        <v>528</v>
      </c>
      <c r="D913" s="385" t="s">
        <v>380</v>
      </c>
      <c r="E913" s="385" t="s">
        <v>19</v>
      </c>
      <c r="F913" s="385" t="s">
        <v>488</v>
      </c>
      <c r="G913" s="385" t="s">
        <v>19</v>
      </c>
      <c r="H913" s="386">
        <v>0</v>
      </c>
      <c r="I913" s="386">
        <v>11000</v>
      </c>
      <c r="J913" s="386">
        <v>0</v>
      </c>
      <c r="K913" s="386">
        <v>7576.9</v>
      </c>
      <c r="L913" s="387" t="s">
        <v>489</v>
      </c>
    </row>
    <row r="914" spans="1:12" hidden="1">
      <c r="A914" s="385" t="s">
        <v>345</v>
      </c>
      <c r="B914" s="385" t="s">
        <v>364</v>
      </c>
      <c r="C914" s="385" t="s">
        <v>528</v>
      </c>
      <c r="D914" s="385" t="s">
        <v>380</v>
      </c>
      <c r="E914" s="385" t="s">
        <v>19</v>
      </c>
      <c r="F914" s="385" t="s">
        <v>473</v>
      </c>
      <c r="G914" s="385" t="s">
        <v>19</v>
      </c>
      <c r="H914" s="386">
        <v>0</v>
      </c>
      <c r="I914" s="386">
        <v>400</v>
      </c>
      <c r="J914" s="386">
        <v>0</v>
      </c>
      <c r="K914" s="386">
        <v>299.99</v>
      </c>
      <c r="L914" s="387" t="s">
        <v>474</v>
      </c>
    </row>
    <row r="915" spans="1:12" ht="38.25" hidden="1">
      <c r="A915" s="385" t="s">
        <v>345</v>
      </c>
      <c r="B915" s="385" t="s">
        <v>364</v>
      </c>
      <c r="C915" s="385" t="s">
        <v>555</v>
      </c>
      <c r="D915" s="385" t="s">
        <v>380</v>
      </c>
      <c r="E915" s="385" t="s">
        <v>19</v>
      </c>
      <c r="F915" s="385" t="s">
        <v>749</v>
      </c>
      <c r="G915" s="385" t="s">
        <v>19</v>
      </c>
      <c r="H915" s="386">
        <v>0</v>
      </c>
      <c r="I915" s="386">
        <v>3392.03</v>
      </c>
      <c r="J915" s="386">
        <v>0</v>
      </c>
      <c r="K915" s="386">
        <v>2328.37</v>
      </c>
      <c r="L915" s="387" t="s">
        <v>750</v>
      </c>
    </row>
    <row r="916" spans="1:12" ht="25.5">
      <c r="A916" s="385" t="s">
        <v>345</v>
      </c>
      <c r="B916" s="385" t="s">
        <v>364</v>
      </c>
      <c r="C916" s="385" t="s">
        <v>555</v>
      </c>
      <c r="D916" s="385" t="s">
        <v>380</v>
      </c>
      <c r="E916" s="385" t="s">
        <v>19</v>
      </c>
      <c r="F916" s="385" t="s">
        <v>747</v>
      </c>
      <c r="G916" s="385" t="s">
        <v>19</v>
      </c>
      <c r="H916" s="386">
        <v>0</v>
      </c>
      <c r="I916" s="386">
        <v>160312.20000000001</v>
      </c>
      <c r="J916" s="386">
        <v>0</v>
      </c>
      <c r="K916" s="386">
        <v>0</v>
      </c>
      <c r="L916" s="387" t="s">
        <v>748</v>
      </c>
    </row>
    <row r="917" spans="1:12" ht="25.5" hidden="1">
      <c r="A917" s="385" t="s">
        <v>345</v>
      </c>
      <c r="B917" s="385" t="s">
        <v>364</v>
      </c>
      <c r="C917" s="385" t="s">
        <v>510</v>
      </c>
      <c r="D917" s="385" t="s">
        <v>380</v>
      </c>
      <c r="E917" s="385" t="s">
        <v>19</v>
      </c>
      <c r="F917" s="385" t="s">
        <v>488</v>
      </c>
      <c r="G917" s="385" t="s">
        <v>19</v>
      </c>
      <c r="H917" s="386">
        <v>0</v>
      </c>
      <c r="I917" s="386">
        <v>24400</v>
      </c>
      <c r="J917" s="386">
        <v>0</v>
      </c>
      <c r="K917" s="386">
        <v>18090</v>
      </c>
      <c r="L917" s="387" t="s">
        <v>489</v>
      </c>
    </row>
    <row r="918" spans="1:12" ht="25.5" hidden="1">
      <c r="A918" s="385" t="s">
        <v>345</v>
      </c>
      <c r="B918" s="385" t="s">
        <v>364</v>
      </c>
      <c r="C918" s="385" t="s">
        <v>510</v>
      </c>
      <c r="D918" s="385" t="s">
        <v>380</v>
      </c>
      <c r="E918" s="385" t="s">
        <v>19</v>
      </c>
      <c r="F918" s="385" t="s">
        <v>468</v>
      </c>
      <c r="G918" s="385" t="s">
        <v>434</v>
      </c>
      <c r="H918" s="386">
        <v>0</v>
      </c>
      <c r="I918" s="386">
        <v>142660</v>
      </c>
      <c r="J918" s="386">
        <v>0</v>
      </c>
      <c r="K918" s="386">
        <v>100600</v>
      </c>
      <c r="L918" s="387" t="s">
        <v>365</v>
      </c>
    </row>
    <row r="919" spans="1:12" ht="38.25" hidden="1">
      <c r="A919" s="385" t="s">
        <v>345</v>
      </c>
      <c r="B919" s="385" t="s">
        <v>364</v>
      </c>
      <c r="C919" s="385" t="s">
        <v>689</v>
      </c>
      <c r="D919" s="385" t="s">
        <v>380</v>
      </c>
      <c r="E919" s="385" t="s">
        <v>19</v>
      </c>
      <c r="F919" s="385" t="s">
        <v>749</v>
      </c>
      <c r="G919" s="385" t="s">
        <v>19</v>
      </c>
      <c r="H919" s="386">
        <v>0</v>
      </c>
      <c r="I919" s="386">
        <v>0</v>
      </c>
      <c r="J919" s="386">
        <v>0</v>
      </c>
      <c r="K919" s="386">
        <v>0</v>
      </c>
      <c r="L919" s="387" t="s">
        <v>750</v>
      </c>
    </row>
    <row r="920" spans="1:12" ht="25.5">
      <c r="A920" s="385" t="s">
        <v>345</v>
      </c>
      <c r="B920" s="385" t="s">
        <v>364</v>
      </c>
      <c r="C920" s="385" t="s">
        <v>551</v>
      </c>
      <c r="D920" s="385" t="s">
        <v>380</v>
      </c>
      <c r="E920" s="385" t="s">
        <v>19</v>
      </c>
      <c r="F920" s="385" t="s">
        <v>747</v>
      </c>
      <c r="G920" s="385" t="s">
        <v>19</v>
      </c>
      <c r="H920" s="386">
        <v>0</v>
      </c>
      <c r="I920" s="386">
        <v>195490.43</v>
      </c>
      <c r="J920" s="386">
        <v>0</v>
      </c>
      <c r="K920" s="386">
        <v>31543.35</v>
      </c>
      <c r="L920" s="387" t="s">
        <v>748</v>
      </c>
    </row>
    <row r="921" spans="1:12" hidden="1">
      <c r="A921" s="385" t="s">
        <v>345</v>
      </c>
      <c r="B921" s="385" t="s">
        <v>364</v>
      </c>
      <c r="C921" s="385" t="s">
        <v>551</v>
      </c>
      <c r="D921" s="385" t="s">
        <v>380</v>
      </c>
      <c r="E921" s="385" t="s">
        <v>19</v>
      </c>
      <c r="F921" s="385" t="s">
        <v>661</v>
      </c>
      <c r="G921" s="385" t="s">
        <v>19</v>
      </c>
      <c r="H921" s="386">
        <v>0</v>
      </c>
      <c r="I921" s="386">
        <v>0</v>
      </c>
      <c r="J921" s="386">
        <v>0</v>
      </c>
      <c r="K921" s="386">
        <v>0</v>
      </c>
      <c r="L921" s="387" t="s">
        <v>662</v>
      </c>
    </row>
    <row r="922" spans="1:12" ht="38.25" hidden="1">
      <c r="A922" s="385" t="s">
        <v>345</v>
      </c>
      <c r="B922" s="385" t="s">
        <v>364</v>
      </c>
      <c r="C922" s="385" t="s">
        <v>551</v>
      </c>
      <c r="D922" s="385" t="s">
        <v>380</v>
      </c>
      <c r="E922" s="385" t="s">
        <v>19</v>
      </c>
      <c r="F922" s="385" t="s">
        <v>749</v>
      </c>
      <c r="G922" s="385" t="s">
        <v>19</v>
      </c>
      <c r="H922" s="386">
        <v>0</v>
      </c>
      <c r="I922" s="386">
        <v>4339</v>
      </c>
      <c r="J922" s="386">
        <v>0</v>
      </c>
      <c r="K922" s="386">
        <v>4231.75</v>
      </c>
      <c r="L922" s="387" t="s">
        <v>750</v>
      </c>
    </row>
    <row r="923" spans="1:12" ht="38.25" hidden="1">
      <c r="A923" s="385" t="s">
        <v>345</v>
      </c>
      <c r="B923" s="385" t="s">
        <v>364</v>
      </c>
      <c r="C923" s="385" t="s">
        <v>552</v>
      </c>
      <c r="D923" s="385" t="s">
        <v>380</v>
      </c>
      <c r="E923" s="385" t="s">
        <v>19</v>
      </c>
      <c r="F923" s="385" t="s">
        <v>749</v>
      </c>
      <c r="G923" s="385" t="s">
        <v>19</v>
      </c>
      <c r="H923" s="386">
        <v>0</v>
      </c>
      <c r="I923" s="386">
        <v>209.39</v>
      </c>
      <c r="J923" s="386">
        <v>0</v>
      </c>
      <c r="K923" s="386">
        <v>209.39</v>
      </c>
      <c r="L923" s="387" t="s">
        <v>750</v>
      </c>
    </row>
    <row r="924" spans="1:12" ht="25.5">
      <c r="A924" s="385" t="s">
        <v>345</v>
      </c>
      <c r="B924" s="385" t="s">
        <v>364</v>
      </c>
      <c r="C924" s="385" t="s">
        <v>552</v>
      </c>
      <c r="D924" s="385" t="s">
        <v>380</v>
      </c>
      <c r="E924" s="385" t="s">
        <v>19</v>
      </c>
      <c r="F924" s="385" t="s">
        <v>747</v>
      </c>
      <c r="G924" s="385" t="s">
        <v>19</v>
      </c>
      <c r="H924" s="386">
        <v>0</v>
      </c>
      <c r="I924" s="386">
        <v>0</v>
      </c>
      <c r="J924" s="386">
        <v>0</v>
      </c>
      <c r="K924" s="386">
        <v>0</v>
      </c>
      <c r="L924" s="387" t="s">
        <v>748</v>
      </c>
    </row>
    <row r="925" spans="1:12" ht="25.5" hidden="1">
      <c r="A925" s="385" t="s">
        <v>345</v>
      </c>
      <c r="B925" s="385" t="s">
        <v>364</v>
      </c>
      <c r="C925" s="385" t="s">
        <v>559</v>
      </c>
      <c r="D925" s="385" t="s">
        <v>380</v>
      </c>
      <c r="E925" s="385" t="s">
        <v>19</v>
      </c>
      <c r="F925" s="385" t="s">
        <v>389</v>
      </c>
      <c r="G925" s="385" t="s">
        <v>19</v>
      </c>
      <c r="H925" s="386">
        <v>0</v>
      </c>
      <c r="I925" s="386">
        <v>0</v>
      </c>
      <c r="J925" s="386">
        <v>0</v>
      </c>
      <c r="K925" s="386">
        <v>0</v>
      </c>
      <c r="L925" s="387" t="s">
        <v>390</v>
      </c>
    </row>
    <row r="926" spans="1:12" hidden="1">
      <c r="A926" s="385" t="s">
        <v>345</v>
      </c>
      <c r="B926" s="385" t="s">
        <v>364</v>
      </c>
      <c r="C926" s="385" t="s">
        <v>535</v>
      </c>
      <c r="D926" s="385" t="s">
        <v>380</v>
      </c>
      <c r="E926" s="385" t="s">
        <v>19</v>
      </c>
      <c r="F926" s="385" t="s">
        <v>471</v>
      </c>
      <c r="G926" s="385" t="s">
        <v>19</v>
      </c>
      <c r="H926" s="386">
        <v>0</v>
      </c>
      <c r="I926" s="386">
        <v>107284</v>
      </c>
      <c r="J926" s="386">
        <v>0</v>
      </c>
      <c r="K926" s="386">
        <v>80463</v>
      </c>
      <c r="L926" s="387" t="s">
        <v>472</v>
      </c>
    </row>
    <row r="927" spans="1:12" hidden="1">
      <c r="A927" s="385" t="s">
        <v>345</v>
      </c>
      <c r="B927" s="385" t="s">
        <v>364</v>
      </c>
      <c r="C927" s="385" t="s">
        <v>535</v>
      </c>
      <c r="D927" s="385" t="s">
        <v>380</v>
      </c>
      <c r="E927" s="385" t="s">
        <v>19</v>
      </c>
      <c r="F927" s="385" t="s">
        <v>479</v>
      </c>
      <c r="G927" s="385" t="s">
        <v>19</v>
      </c>
      <c r="H927" s="386">
        <v>0</v>
      </c>
      <c r="I927" s="386">
        <v>38804</v>
      </c>
      <c r="J927" s="386">
        <v>0</v>
      </c>
      <c r="K927" s="386">
        <v>29103</v>
      </c>
      <c r="L927" s="387" t="s">
        <v>480</v>
      </c>
    </row>
    <row r="928" spans="1:12" ht="25.5" hidden="1">
      <c r="A928" s="385" t="s">
        <v>345</v>
      </c>
      <c r="B928" s="385" t="s">
        <v>364</v>
      </c>
      <c r="C928" s="385" t="s">
        <v>535</v>
      </c>
      <c r="D928" s="385" t="s">
        <v>380</v>
      </c>
      <c r="E928" s="385" t="s">
        <v>19</v>
      </c>
      <c r="F928" s="385" t="s">
        <v>488</v>
      </c>
      <c r="G928" s="385" t="s">
        <v>19</v>
      </c>
      <c r="H928" s="386">
        <v>0</v>
      </c>
      <c r="I928" s="386">
        <v>12166</v>
      </c>
      <c r="J928" s="386">
        <v>0</v>
      </c>
      <c r="K928" s="386">
        <v>0</v>
      </c>
      <c r="L928" s="387" t="s">
        <v>489</v>
      </c>
    </row>
    <row r="929" spans="1:12" ht="25.5" hidden="1">
      <c r="A929" s="385" t="s">
        <v>345</v>
      </c>
      <c r="B929" s="385" t="s">
        <v>364</v>
      </c>
      <c r="C929" s="385" t="s">
        <v>535</v>
      </c>
      <c r="D929" s="385" t="s">
        <v>380</v>
      </c>
      <c r="E929" s="385" t="s">
        <v>19</v>
      </c>
      <c r="F929" s="385" t="s">
        <v>477</v>
      </c>
      <c r="G929" s="385" t="s">
        <v>19</v>
      </c>
      <c r="H929" s="386">
        <v>0</v>
      </c>
      <c r="I929" s="386">
        <v>31957</v>
      </c>
      <c r="J929" s="386">
        <v>0</v>
      </c>
      <c r="K929" s="386">
        <v>23968</v>
      </c>
      <c r="L929" s="387" t="s">
        <v>478</v>
      </c>
    </row>
    <row r="930" spans="1:12" hidden="1">
      <c r="A930" s="385" t="s">
        <v>345</v>
      </c>
      <c r="B930" s="385" t="s">
        <v>364</v>
      </c>
      <c r="C930" s="385" t="s">
        <v>535</v>
      </c>
      <c r="D930" s="385" t="s">
        <v>380</v>
      </c>
      <c r="E930" s="385" t="s">
        <v>19</v>
      </c>
      <c r="F930" s="385" t="s">
        <v>473</v>
      </c>
      <c r="G930" s="385" t="s">
        <v>19</v>
      </c>
      <c r="H930" s="386">
        <v>0</v>
      </c>
      <c r="I930" s="386">
        <v>61631</v>
      </c>
      <c r="J930" s="386">
        <v>0</v>
      </c>
      <c r="K930" s="386">
        <v>46223</v>
      </c>
      <c r="L930" s="387" t="s">
        <v>474</v>
      </c>
    </row>
    <row r="931" spans="1:12" ht="25.5" hidden="1">
      <c r="A931" s="385" t="s">
        <v>345</v>
      </c>
      <c r="B931" s="385" t="s">
        <v>364</v>
      </c>
      <c r="C931" s="385" t="s">
        <v>535</v>
      </c>
      <c r="D931" s="385" t="s">
        <v>380</v>
      </c>
      <c r="E931" s="385" t="s">
        <v>19</v>
      </c>
      <c r="F931" s="385" t="s">
        <v>475</v>
      </c>
      <c r="G931" s="385" t="s">
        <v>19</v>
      </c>
      <c r="H931" s="386">
        <v>0</v>
      </c>
      <c r="I931" s="386">
        <v>25109</v>
      </c>
      <c r="J931" s="386">
        <v>0</v>
      </c>
      <c r="K931" s="386">
        <v>18832</v>
      </c>
      <c r="L931" s="387" t="s">
        <v>476</v>
      </c>
    </row>
    <row r="932" spans="1:12" ht="25.5" hidden="1">
      <c r="A932" s="385" t="s">
        <v>345</v>
      </c>
      <c r="B932" s="385" t="s">
        <v>364</v>
      </c>
      <c r="C932" s="385" t="s">
        <v>535</v>
      </c>
      <c r="D932" s="385" t="s">
        <v>380</v>
      </c>
      <c r="E932" s="385" t="s">
        <v>19</v>
      </c>
      <c r="F932" s="385" t="s">
        <v>469</v>
      </c>
      <c r="G932" s="385" t="s">
        <v>19</v>
      </c>
      <c r="H932" s="386">
        <v>0</v>
      </c>
      <c r="I932" s="386">
        <v>6848</v>
      </c>
      <c r="J932" s="386">
        <v>0</v>
      </c>
      <c r="K932" s="386">
        <v>5136</v>
      </c>
      <c r="L932" s="387" t="s">
        <v>470</v>
      </c>
    </row>
    <row r="933" spans="1:12" hidden="1">
      <c r="A933" s="385" t="s">
        <v>345</v>
      </c>
      <c r="B933" s="385" t="s">
        <v>364</v>
      </c>
      <c r="C933" s="385" t="s">
        <v>767</v>
      </c>
      <c r="D933" s="385" t="s">
        <v>380</v>
      </c>
      <c r="E933" s="385" t="s">
        <v>19</v>
      </c>
      <c r="F933" s="385" t="s">
        <v>661</v>
      </c>
      <c r="G933" s="385" t="s">
        <v>19</v>
      </c>
      <c r="H933" s="386">
        <v>0</v>
      </c>
      <c r="I933" s="386">
        <v>218.2</v>
      </c>
      <c r="J933" s="386">
        <v>0</v>
      </c>
      <c r="K933" s="386">
        <v>218.15</v>
      </c>
      <c r="L933" s="387" t="s">
        <v>662</v>
      </c>
    </row>
    <row r="934" spans="1:12" hidden="1">
      <c r="A934" s="385" t="s">
        <v>345</v>
      </c>
      <c r="B934" s="385" t="s">
        <v>364</v>
      </c>
      <c r="C934" s="385" t="s">
        <v>768</v>
      </c>
      <c r="D934" s="385" t="s">
        <v>380</v>
      </c>
      <c r="E934" s="385" t="s">
        <v>19</v>
      </c>
      <c r="F934" s="385" t="s">
        <v>661</v>
      </c>
      <c r="G934" s="385" t="s">
        <v>19</v>
      </c>
      <c r="H934" s="386">
        <v>0</v>
      </c>
      <c r="I934" s="386">
        <v>38.5</v>
      </c>
      <c r="J934" s="386">
        <v>0</v>
      </c>
      <c r="K934" s="386">
        <v>38.5</v>
      </c>
      <c r="L934" s="387" t="s">
        <v>662</v>
      </c>
    </row>
    <row r="935" spans="1:12" hidden="1">
      <c r="A935" s="385" t="s">
        <v>345</v>
      </c>
      <c r="B935" s="385" t="s">
        <v>364</v>
      </c>
      <c r="C935" s="385" t="s">
        <v>594</v>
      </c>
      <c r="D935" s="385" t="s">
        <v>380</v>
      </c>
      <c r="E935" s="385" t="s">
        <v>19</v>
      </c>
      <c r="F935" s="385" t="s">
        <v>386</v>
      </c>
      <c r="G935" s="385" t="s">
        <v>19</v>
      </c>
      <c r="H935" s="386">
        <v>0</v>
      </c>
      <c r="I935" s="386">
        <v>574486</v>
      </c>
      <c r="J935" s="386">
        <v>0</v>
      </c>
      <c r="K935" s="386">
        <v>0</v>
      </c>
      <c r="L935" s="387" t="s">
        <v>387</v>
      </c>
    </row>
    <row r="936" spans="1:12" ht="25.5">
      <c r="A936" s="385" t="s">
        <v>345</v>
      </c>
      <c r="B936" s="385" t="s">
        <v>364</v>
      </c>
      <c r="C936" s="385" t="s">
        <v>690</v>
      </c>
      <c r="D936" s="385" t="s">
        <v>380</v>
      </c>
      <c r="E936" s="385" t="s">
        <v>19</v>
      </c>
      <c r="F936" s="385" t="s">
        <v>747</v>
      </c>
      <c r="G936" s="385" t="s">
        <v>19</v>
      </c>
      <c r="H936" s="386">
        <v>0</v>
      </c>
      <c r="I936" s="386">
        <v>74649.19</v>
      </c>
      <c r="J936" s="386">
        <v>0</v>
      </c>
      <c r="K936" s="386">
        <v>8768.15</v>
      </c>
      <c r="L936" s="387" t="s">
        <v>748</v>
      </c>
    </row>
    <row r="937" spans="1:12" hidden="1">
      <c r="A937" s="385" t="s">
        <v>345</v>
      </c>
      <c r="B937" s="385" t="s">
        <v>364</v>
      </c>
      <c r="C937" s="385" t="s">
        <v>690</v>
      </c>
      <c r="D937" s="385" t="s">
        <v>380</v>
      </c>
      <c r="E937" s="385" t="s">
        <v>19</v>
      </c>
      <c r="F937" s="385" t="s">
        <v>661</v>
      </c>
      <c r="G937" s="385" t="s">
        <v>19</v>
      </c>
      <c r="H937" s="386">
        <v>0</v>
      </c>
      <c r="I937" s="386">
        <v>180170.25</v>
      </c>
      <c r="J937" s="386">
        <v>0</v>
      </c>
      <c r="K937" s="386">
        <v>100213.18</v>
      </c>
      <c r="L937" s="387" t="s">
        <v>662</v>
      </c>
    </row>
    <row r="938" spans="1:12" ht="38.25" hidden="1">
      <c r="A938" s="385" t="s">
        <v>345</v>
      </c>
      <c r="B938" s="385" t="s">
        <v>364</v>
      </c>
      <c r="C938" s="385" t="s">
        <v>690</v>
      </c>
      <c r="D938" s="385" t="s">
        <v>380</v>
      </c>
      <c r="E938" s="385" t="s">
        <v>19</v>
      </c>
      <c r="F938" s="385" t="s">
        <v>749</v>
      </c>
      <c r="G938" s="385" t="s">
        <v>19</v>
      </c>
      <c r="H938" s="386">
        <v>0</v>
      </c>
      <c r="I938" s="386">
        <v>16008</v>
      </c>
      <c r="J938" s="386">
        <v>0</v>
      </c>
      <c r="K938" s="386">
        <v>15966.46</v>
      </c>
      <c r="L938" s="387" t="s">
        <v>750</v>
      </c>
    </row>
    <row r="939" spans="1:12" ht="38.25" hidden="1">
      <c r="A939" s="385" t="s">
        <v>345</v>
      </c>
      <c r="B939" s="385" t="s">
        <v>364</v>
      </c>
      <c r="C939" s="385" t="s">
        <v>691</v>
      </c>
      <c r="D939" s="385" t="s">
        <v>380</v>
      </c>
      <c r="E939" s="385" t="s">
        <v>19</v>
      </c>
      <c r="F939" s="385" t="s">
        <v>749</v>
      </c>
      <c r="G939" s="385" t="s">
        <v>19</v>
      </c>
      <c r="H939" s="386">
        <v>0</v>
      </c>
      <c r="I939" s="386">
        <v>41.54</v>
      </c>
      <c r="J939" s="386">
        <v>0</v>
      </c>
      <c r="K939" s="386">
        <v>41.54</v>
      </c>
      <c r="L939" s="387" t="s">
        <v>750</v>
      </c>
    </row>
    <row r="940" spans="1:12" hidden="1">
      <c r="A940" s="385" t="s">
        <v>345</v>
      </c>
      <c r="B940" s="385" t="s">
        <v>364</v>
      </c>
      <c r="C940" s="385" t="s">
        <v>691</v>
      </c>
      <c r="D940" s="385" t="s">
        <v>380</v>
      </c>
      <c r="E940" s="385" t="s">
        <v>19</v>
      </c>
      <c r="F940" s="385" t="s">
        <v>661</v>
      </c>
      <c r="G940" s="385" t="s">
        <v>19</v>
      </c>
      <c r="H940" s="386">
        <v>0</v>
      </c>
      <c r="I940" s="386">
        <v>31794.75</v>
      </c>
      <c r="J940" s="386">
        <v>0</v>
      </c>
      <c r="K940" s="386">
        <v>17684.68</v>
      </c>
      <c r="L940" s="387" t="s">
        <v>662</v>
      </c>
    </row>
    <row r="941" spans="1:12" ht="25.5" hidden="1">
      <c r="A941" s="385" t="s">
        <v>345</v>
      </c>
      <c r="B941" s="385" t="s">
        <v>364</v>
      </c>
      <c r="C941" s="385" t="s">
        <v>541</v>
      </c>
      <c r="D941" s="385" t="s">
        <v>380</v>
      </c>
      <c r="E941" s="385" t="s">
        <v>19</v>
      </c>
      <c r="F941" s="385" t="s">
        <v>389</v>
      </c>
      <c r="G941" s="385" t="s">
        <v>19</v>
      </c>
      <c r="H941" s="386">
        <v>0</v>
      </c>
      <c r="I941" s="386">
        <v>20000</v>
      </c>
      <c r="J941" s="386">
        <v>0</v>
      </c>
      <c r="K941" s="386">
        <v>19311</v>
      </c>
      <c r="L941" s="387" t="s">
        <v>390</v>
      </c>
    </row>
    <row r="942" spans="1:12" ht="25.5">
      <c r="A942" s="385" t="s">
        <v>345</v>
      </c>
      <c r="B942" s="385" t="s">
        <v>364</v>
      </c>
      <c r="C942" s="385" t="s">
        <v>754</v>
      </c>
      <c r="D942" s="385" t="s">
        <v>380</v>
      </c>
      <c r="E942" s="385" t="s">
        <v>19</v>
      </c>
      <c r="F942" s="385" t="s">
        <v>747</v>
      </c>
      <c r="G942" s="385" t="s">
        <v>19</v>
      </c>
      <c r="H942" s="386">
        <v>0</v>
      </c>
      <c r="I942" s="386">
        <v>367001</v>
      </c>
      <c r="J942" s="386">
        <v>0</v>
      </c>
      <c r="K942" s="386">
        <v>0</v>
      </c>
      <c r="L942" s="387" t="s">
        <v>748</v>
      </c>
    </row>
    <row r="943" spans="1:12" ht="25.5">
      <c r="A943" s="385" t="s">
        <v>345</v>
      </c>
      <c r="B943" s="385" t="s">
        <v>364</v>
      </c>
      <c r="C943" s="385" t="s">
        <v>769</v>
      </c>
      <c r="D943" s="385" t="s">
        <v>380</v>
      </c>
      <c r="E943" s="385" t="s">
        <v>19</v>
      </c>
      <c r="F943" s="385" t="s">
        <v>747</v>
      </c>
      <c r="G943" s="385" t="s">
        <v>19</v>
      </c>
      <c r="H943" s="386">
        <v>0</v>
      </c>
      <c r="I943" s="386">
        <v>59619</v>
      </c>
      <c r="J943" s="386">
        <v>0</v>
      </c>
      <c r="K943" s="386">
        <v>0</v>
      </c>
      <c r="L943" s="387" t="s">
        <v>748</v>
      </c>
    </row>
    <row r="944" spans="1:12" ht="25.5" hidden="1">
      <c r="A944" s="385" t="s">
        <v>492</v>
      </c>
      <c r="B944" s="385" t="s">
        <v>144</v>
      </c>
      <c r="C944" s="385" t="s">
        <v>528</v>
      </c>
      <c r="D944" s="385" t="s">
        <v>380</v>
      </c>
      <c r="E944" s="385" t="s">
        <v>19</v>
      </c>
      <c r="F944" s="385" t="s">
        <v>389</v>
      </c>
      <c r="G944" s="385" t="s">
        <v>19</v>
      </c>
      <c r="H944" s="386">
        <v>0</v>
      </c>
      <c r="I944" s="386">
        <v>14103</v>
      </c>
      <c r="J944" s="386">
        <v>0</v>
      </c>
      <c r="K944" s="386">
        <v>11250</v>
      </c>
      <c r="L944" s="387" t="s">
        <v>390</v>
      </c>
    </row>
    <row r="945" spans="1:12" ht="25.5" hidden="1">
      <c r="A945" s="385" t="s">
        <v>492</v>
      </c>
      <c r="B945" s="385" t="s">
        <v>144</v>
      </c>
      <c r="C945" s="385" t="s">
        <v>559</v>
      </c>
      <c r="D945" s="385" t="s">
        <v>380</v>
      </c>
      <c r="E945" s="385" t="s">
        <v>19</v>
      </c>
      <c r="F945" s="385" t="s">
        <v>410</v>
      </c>
      <c r="G945" s="385" t="s">
        <v>19</v>
      </c>
      <c r="H945" s="386">
        <v>0</v>
      </c>
      <c r="I945" s="386">
        <v>12300</v>
      </c>
      <c r="J945" s="386">
        <v>0</v>
      </c>
      <c r="K945" s="386">
        <v>0</v>
      </c>
      <c r="L945" s="387" t="s">
        <v>411</v>
      </c>
    </row>
    <row r="946" spans="1:12" hidden="1">
      <c r="A946" s="385" t="s">
        <v>492</v>
      </c>
      <c r="B946" s="385" t="s">
        <v>144</v>
      </c>
      <c r="C946" s="385" t="s">
        <v>538</v>
      </c>
      <c r="D946" s="385" t="s">
        <v>380</v>
      </c>
      <c r="E946" s="385" t="s">
        <v>19</v>
      </c>
      <c r="F946" s="385" t="s">
        <v>386</v>
      </c>
      <c r="G946" s="385" t="s">
        <v>19</v>
      </c>
      <c r="H946" s="386">
        <v>0</v>
      </c>
      <c r="I946" s="386">
        <v>500</v>
      </c>
      <c r="J946" s="386">
        <v>0</v>
      </c>
      <c r="K946" s="386">
        <v>0</v>
      </c>
      <c r="L946" s="387" t="s">
        <v>387</v>
      </c>
    </row>
    <row r="947" spans="1:12" hidden="1">
      <c r="A947" s="385" t="s">
        <v>492</v>
      </c>
      <c r="B947" s="385" t="s">
        <v>144</v>
      </c>
      <c r="C947" s="385" t="s">
        <v>770</v>
      </c>
      <c r="D947" s="385" t="s">
        <v>380</v>
      </c>
      <c r="E947" s="385" t="s">
        <v>19</v>
      </c>
      <c r="F947" s="385" t="s">
        <v>386</v>
      </c>
      <c r="G947" s="385" t="s">
        <v>19</v>
      </c>
      <c r="H947" s="386">
        <v>0</v>
      </c>
      <c r="I947" s="386">
        <v>0</v>
      </c>
      <c r="J947" s="386">
        <v>0</v>
      </c>
      <c r="K947" s="386">
        <v>0</v>
      </c>
      <c r="L947" s="387" t="s">
        <v>387</v>
      </c>
    </row>
    <row r="948" spans="1:12" ht="25.5" hidden="1">
      <c r="A948" s="385" t="s">
        <v>492</v>
      </c>
      <c r="B948" s="385" t="s">
        <v>144</v>
      </c>
      <c r="C948" s="385" t="s">
        <v>542</v>
      </c>
      <c r="D948" s="385" t="s">
        <v>380</v>
      </c>
      <c r="E948" s="385" t="s">
        <v>19</v>
      </c>
      <c r="F948" s="385" t="s">
        <v>389</v>
      </c>
      <c r="G948" s="385" t="s">
        <v>19</v>
      </c>
      <c r="H948" s="386">
        <v>0</v>
      </c>
      <c r="I948" s="386">
        <v>54564.7</v>
      </c>
      <c r="J948" s="386">
        <v>0</v>
      </c>
      <c r="K948" s="386">
        <v>25056</v>
      </c>
      <c r="L948" s="387" t="s">
        <v>390</v>
      </c>
    </row>
    <row r="949" spans="1:12" hidden="1">
      <c r="A949" s="385" t="s">
        <v>492</v>
      </c>
      <c r="B949" s="385" t="s">
        <v>280</v>
      </c>
      <c r="C949" s="385" t="s">
        <v>510</v>
      </c>
      <c r="D949" s="385" t="s">
        <v>380</v>
      </c>
      <c r="E949" s="385" t="s">
        <v>19</v>
      </c>
      <c r="F949" s="385" t="s">
        <v>467</v>
      </c>
      <c r="G949" s="385" t="s">
        <v>19</v>
      </c>
      <c r="H949" s="386">
        <v>0</v>
      </c>
      <c r="I949" s="386">
        <v>85487</v>
      </c>
      <c r="J949" s="386">
        <v>0</v>
      </c>
      <c r="K949" s="386">
        <v>10154.34</v>
      </c>
      <c r="L949" s="387" t="s">
        <v>353</v>
      </c>
    </row>
    <row r="950" spans="1:12" ht="25.5" hidden="1">
      <c r="A950" s="385" t="s">
        <v>492</v>
      </c>
      <c r="B950" s="385" t="s">
        <v>281</v>
      </c>
      <c r="C950" s="385" t="s">
        <v>510</v>
      </c>
      <c r="D950" s="385" t="s">
        <v>380</v>
      </c>
      <c r="E950" s="385" t="s">
        <v>19</v>
      </c>
      <c r="F950" s="385" t="s">
        <v>392</v>
      </c>
      <c r="G950" s="385" t="s">
        <v>19</v>
      </c>
      <c r="H950" s="386">
        <v>0</v>
      </c>
      <c r="I950" s="386">
        <v>20000</v>
      </c>
      <c r="J950" s="386">
        <v>0</v>
      </c>
      <c r="K950" s="386">
        <v>0</v>
      </c>
      <c r="L950" s="387" t="s">
        <v>393</v>
      </c>
    </row>
    <row r="951" spans="1:12" hidden="1">
      <c r="A951" s="385" t="s">
        <v>492</v>
      </c>
      <c r="B951" s="385" t="s">
        <v>352</v>
      </c>
      <c r="C951" s="385" t="s">
        <v>510</v>
      </c>
      <c r="D951" s="385" t="s">
        <v>380</v>
      </c>
      <c r="E951" s="385" t="s">
        <v>19</v>
      </c>
      <c r="F951" s="385" t="s">
        <v>467</v>
      </c>
      <c r="G951" s="385" t="s">
        <v>12</v>
      </c>
      <c r="H951" s="386">
        <v>0</v>
      </c>
      <c r="I951" s="386">
        <v>960</v>
      </c>
      <c r="J951" s="386">
        <v>0</v>
      </c>
      <c r="K951" s="386">
        <v>960</v>
      </c>
      <c r="L951" s="387" t="s">
        <v>353</v>
      </c>
    </row>
    <row r="952" spans="1:12" ht="25.5" hidden="1">
      <c r="A952" s="385" t="s">
        <v>354</v>
      </c>
      <c r="B952" s="385" t="s">
        <v>495</v>
      </c>
      <c r="C952" s="385" t="s">
        <v>521</v>
      </c>
      <c r="D952" s="385" t="s">
        <v>380</v>
      </c>
      <c r="E952" s="385" t="s">
        <v>19</v>
      </c>
      <c r="F952" s="385" t="s">
        <v>457</v>
      </c>
      <c r="G952" s="385" t="s">
        <v>19</v>
      </c>
      <c r="H952" s="386">
        <v>0</v>
      </c>
      <c r="I952" s="386">
        <v>50457</v>
      </c>
      <c r="J952" s="386">
        <v>0</v>
      </c>
      <c r="K952" s="386">
        <v>32788.870000000003</v>
      </c>
      <c r="L952" s="387" t="s">
        <v>458</v>
      </c>
    </row>
    <row r="953" spans="1:12" ht="25.5" hidden="1">
      <c r="A953" s="385" t="s">
        <v>354</v>
      </c>
      <c r="B953" s="385" t="s">
        <v>495</v>
      </c>
      <c r="C953" s="385" t="s">
        <v>523</v>
      </c>
      <c r="D953" s="385" t="s">
        <v>380</v>
      </c>
      <c r="E953" s="385" t="s">
        <v>19</v>
      </c>
      <c r="F953" s="385" t="s">
        <v>457</v>
      </c>
      <c r="G953" s="385" t="s">
        <v>19</v>
      </c>
      <c r="H953" s="386">
        <v>0</v>
      </c>
      <c r="I953" s="386">
        <v>13333632</v>
      </c>
      <c r="J953" s="386">
        <v>0</v>
      </c>
      <c r="K953" s="386">
        <v>8404689.0500000007</v>
      </c>
      <c r="L953" s="387" t="s">
        <v>458</v>
      </c>
    </row>
    <row r="954" spans="1:12" ht="25.5" hidden="1">
      <c r="A954" s="385" t="s">
        <v>354</v>
      </c>
      <c r="B954" s="385" t="s">
        <v>495</v>
      </c>
      <c r="C954" s="385" t="s">
        <v>524</v>
      </c>
      <c r="D954" s="385" t="s">
        <v>380</v>
      </c>
      <c r="E954" s="385" t="s">
        <v>19</v>
      </c>
      <c r="F954" s="385" t="s">
        <v>457</v>
      </c>
      <c r="G954" s="385" t="s">
        <v>19</v>
      </c>
      <c r="H954" s="386">
        <v>0</v>
      </c>
      <c r="I954" s="386">
        <v>796722</v>
      </c>
      <c r="J954" s="386">
        <v>0</v>
      </c>
      <c r="K954" s="386">
        <v>796721.67</v>
      </c>
      <c r="L954" s="387" t="s">
        <v>458</v>
      </c>
    </row>
    <row r="955" spans="1:12" ht="25.5" hidden="1">
      <c r="A955" s="385" t="s">
        <v>354</v>
      </c>
      <c r="B955" s="385" t="s">
        <v>495</v>
      </c>
      <c r="C955" s="385" t="s">
        <v>525</v>
      </c>
      <c r="D955" s="385" t="s">
        <v>380</v>
      </c>
      <c r="E955" s="385" t="s">
        <v>19</v>
      </c>
      <c r="F955" s="385" t="s">
        <v>457</v>
      </c>
      <c r="G955" s="385" t="s">
        <v>19</v>
      </c>
      <c r="H955" s="386">
        <v>0</v>
      </c>
      <c r="I955" s="386">
        <v>1817074</v>
      </c>
      <c r="J955" s="386">
        <v>0</v>
      </c>
      <c r="K955" s="386">
        <v>1471165.42</v>
      </c>
      <c r="L955" s="387" t="s">
        <v>458</v>
      </c>
    </row>
    <row r="956" spans="1:12" ht="25.5" hidden="1">
      <c r="A956" s="385" t="s">
        <v>354</v>
      </c>
      <c r="B956" s="385" t="s">
        <v>495</v>
      </c>
      <c r="C956" s="385" t="s">
        <v>526</v>
      </c>
      <c r="D956" s="385" t="s">
        <v>380</v>
      </c>
      <c r="E956" s="385" t="s">
        <v>19</v>
      </c>
      <c r="F956" s="385" t="s">
        <v>457</v>
      </c>
      <c r="G956" s="385" t="s">
        <v>19</v>
      </c>
      <c r="H956" s="386">
        <v>0</v>
      </c>
      <c r="I956" s="386">
        <v>241045</v>
      </c>
      <c r="J956" s="386">
        <v>0</v>
      </c>
      <c r="K956" s="386">
        <v>134983.01</v>
      </c>
      <c r="L956" s="387" t="s">
        <v>458</v>
      </c>
    </row>
    <row r="957" spans="1:12" ht="25.5" hidden="1">
      <c r="A957" s="385" t="s">
        <v>354</v>
      </c>
      <c r="B957" s="385" t="s">
        <v>495</v>
      </c>
      <c r="C957" s="385" t="s">
        <v>527</v>
      </c>
      <c r="D957" s="385" t="s">
        <v>380</v>
      </c>
      <c r="E957" s="385" t="s">
        <v>19</v>
      </c>
      <c r="F957" s="385" t="s">
        <v>457</v>
      </c>
      <c r="G957" s="385" t="s">
        <v>19</v>
      </c>
      <c r="H957" s="386">
        <v>0</v>
      </c>
      <c r="I957" s="386">
        <v>494862</v>
      </c>
      <c r="J957" s="386">
        <v>0</v>
      </c>
      <c r="K957" s="386">
        <v>319071.48</v>
      </c>
      <c r="L957" s="387" t="s">
        <v>458</v>
      </c>
    </row>
    <row r="958" spans="1:12" ht="25.5" hidden="1">
      <c r="A958" s="385" t="s">
        <v>354</v>
      </c>
      <c r="B958" s="385" t="s">
        <v>495</v>
      </c>
      <c r="C958" s="385" t="s">
        <v>528</v>
      </c>
      <c r="D958" s="385" t="s">
        <v>380</v>
      </c>
      <c r="E958" s="385" t="s">
        <v>19</v>
      </c>
      <c r="F958" s="385" t="s">
        <v>457</v>
      </c>
      <c r="G958" s="385" t="s">
        <v>19</v>
      </c>
      <c r="H958" s="386">
        <v>0</v>
      </c>
      <c r="I958" s="386">
        <v>439893</v>
      </c>
      <c r="J958" s="386">
        <v>0</v>
      </c>
      <c r="K958" s="386">
        <v>381380.6</v>
      </c>
      <c r="L958" s="387" t="s">
        <v>458</v>
      </c>
    </row>
    <row r="959" spans="1:12" ht="25.5" hidden="1">
      <c r="A959" s="385" t="s">
        <v>354</v>
      </c>
      <c r="B959" s="385" t="s">
        <v>495</v>
      </c>
      <c r="C959" s="385" t="s">
        <v>529</v>
      </c>
      <c r="D959" s="385" t="s">
        <v>380</v>
      </c>
      <c r="E959" s="385" t="s">
        <v>19</v>
      </c>
      <c r="F959" s="385" t="s">
        <v>457</v>
      </c>
      <c r="G959" s="385" t="s">
        <v>19</v>
      </c>
      <c r="H959" s="386">
        <v>0</v>
      </c>
      <c r="I959" s="386">
        <v>1245232</v>
      </c>
      <c r="J959" s="386">
        <v>0</v>
      </c>
      <c r="K959" s="386">
        <v>743401.82</v>
      </c>
      <c r="L959" s="387" t="s">
        <v>458</v>
      </c>
    </row>
    <row r="960" spans="1:12" ht="25.5" hidden="1">
      <c r="A960" s="385" t="s">
        <v>354</v>
      </c>
      <c r="B960" s="385" t="s">
        <v>495</v>
      </c>
      <c r="C960" s="385" t="s">
        <v>608</v>
      </c>
      <c r="D960" s="385" t="s">
        <v>380</v>
      </c>
      <c r="E960" s="385" t="s">
        <v>19</v>
      </c>
      <c r="F960" s="385" t="s">
        <v>457</v>
      </c>
      <c r="G960" s="385" t="s">
        <v>19</v>
      </c>
      <c r="H960" s="386">
        <v>0</v>
      </c>
      <c r="I960" s="386">
        <v>85722</v>
      </c>
      <c r="J960" s="386">
        <v>0</v>
      </c>
      <c r="K960" s="386">
        <v>42166.84</v>
      </c>
      <c r="L960" s="387" t="s">
        <v>458</v>
      </c>
    </row>
    <row r="961" spans="1:12" hidden="1">
      <c r="A961" s="385" t="s">
        <v>354</v>
      </c>
      <c r="B961" s="385" t="s">
        <v>495</v>
      </c>
      <c r="C961" s="385" t="s">
        <v>530</v>
      </c>
      <c r="D961" s="385" t="s">
        <v>380</v>
      </c>
      <c r="E961" s="385" t="s">
        <v>19</v>
      </c>
      <c r="F961" s="385" t="s">
        <v>386</v>
      </c>
      <c r="G961" s="385" t="s">
        <v>19</v>
      </c>
      <c r="H961" s="386">
        <v>0</v>
      </c>
      <c r="I961" s="386">
        <v>0</v>
      </c>
      <c r="J961" s="386">
        <v>0</v>
      </c>
      <c r="K961" s="386">
        <v>0</v>
      </c>
      <c r="L961" s="387" t="s">
        <v>387</v>
      </c>
    </row>
    <row r="962" spans="1:12" ht="25.5" hidden="1">
      <c r="A962" s="385" t="s">
        <v>354</v>
      </c>
      <c r="B962" s="385" t="s">
        <v>495</v>
      </c>
      <c r="C962" s="385" t="s">
        <v>530</v>
      </c>
      <c r="D962" s="385" t="s">
        <v>380</v>
      </c>
      <c r="E962" s="385" t="s">
        <v>19</v>
      </c>
      <c r="F962" s="385" t="s">
        <v>457</v>
      </c>
      <c r="G962" s="385" t="s">
        <v>19</v>
      </c>
      <c r="H962" s="386">
        <v>0</v>
      </c>
      <c r="I962" s="386">
        <v>1125153</v>
      </c>
      <c r="J962" s="386">
        <v>0</v>
      </c>
      <c r="K962" s="386">
        <v>824562.82</v>
      </c>
      <c r="L962" s="387" t="s">
        <v>458</v>
      </c>
    </row>
    <row r="963" spans="1:12" ht="25.5" hidden="1">
      <c r="A963" s="385" t="s">
        <v>354</v>
      </c>
      <c r="B963" s="385" t="s">
        <v>495</v>
      </c>
      <c r="C963" s="385" t="s">
        <v>416</v>
      </c>
      <c r="D963" s="385" t="s">
        <v>380</v>
      </c>
      <c r="E963" s="385" t="s">
        <v>19</v>
      </c>
      <c r="F963" s="385" t="s">
        <v>457</v>
      </c>
      <c r="G963" s="385" t="s">
        <v>19</v>
      </c>
      <c r="H963" s="386">
        <v>0</v>
      </c>
      <c r="I963" s="386">
        <v>114569</v>
      </c>
      <c r="J963" s="386">
        <v>0</v>
      </c>
      <c r="K963" s="386">
        <v>84076.26</v>
      </c>
      <c r="L963" s="387" t="s">
        <v>458</v>
      </c>
    </row>
    <row r="964" spans="1:12" ht="25.5" hidden="1">
      <c r="A964" s="385" t="s">
        <v>354</v>
      </c>
      <c r="B964" s="385" t="s">
        <v>495</v>
      </c>
      <c r="C964" s="385" t="s">
        <v>531</v>
      </c>
      <c r="D964" s="385" t="s">
        <v>380</v>
      </c>
      <c r="E964" s="385" t="s">
        <v>19</v>
      </c>
      <c r="F964" s="385" t="s">
        <v>457</v>
      </c>
      <c r="G964" s="385" t="s">
        <v>19</v>
      </c>
      <c r="H964" s="386">
        <v>0</v>
      </c>
      <c r="I964" s="386">
        <v>79392</v>
      </c>
      <c r="J964" s="386">
        <v>0</v>
      </c>
      <c r="K964" s="386">
        <v>45477.38</v>
      </c>
      <c r="L964" s="387" t="s">
        <v>458</v>
      </c>
    </row>
    <row r="965" spans="1:12" ht="25.5" hidden="1">
      <c r="A965" s="385" t="s">
        <v>354</v>
      </c>
      <c r="B965" s="385" t="s">
        <v>495</v>
      </c>
      <c r="C965" s="385" t="s">
        <v>510</v>
      </c>
      <c r="D965" s="385" t="s">
        <v>380</v>
      </c>
      <c r="E965" s="385" t="s">
        <v>19</v>
      </c>
      <c r="F965" s="385" t="s">
        <v>457</v>
      </c>
      <c r="G965" s="385" t="s">
        <v>19</v>
      </c>
      <c r="H965" s="386">
        <v>0</v>
      </c>
      <c r="I965" s="386">
        <v>432151</v>
      </c>
      <c r="J965" s="386">
        <v>0</v>
      </c>
      <c r="K965" s="386">
        <v>278121.5</v>
      </c>
      <c r="L965" s="387" t="s">
        <v>458</v>
      </c>
    </row>
    <row r="966" spans="1:12" ht="25.5" hidden="1">
      <c r="A966" s="385" t="s">
        <v>354</v>
      </c>
      <c r="B966" s="385" t="s">
        <v>495</v>
      </c>
      <c r="C966" s="385" t="s">
        <v>532</v>
      </c>
      <c r="D966" s="385" t="s">
        <v>380</v>
      </c>
      <c r="E966" s="385" t="s">
        <v>19</v>
      </c>
      <c r="F966" s="385" t="s">
        <v>457</v>
      </c>
      <c r="G966" s="385" t="s">
        <v>19</v>
      </c>
      <c r="H966" s="386">
        <v>0</v>
      </c>
      <c r="I966" s="386">
        <v>11511</v>
      </c>
      <c r="J966" s="386">
        <v>0</v>
      </c>
      <c r="K966" s="386">
        <v>6438.35</v>
      </c>
      <c r="L966" s="387" t="s">
        <v>458</v>
      </c>
    </row>
    <row r="967" spans="1:12" ht="25.5" hidden="1">
      <c r="A967" s="385" t="s">
        <v>354</v>
      </c>
      <c r="B967" s="385" t="s">
        <v>495</v>
      </c>
      <c r="C967" s="385" t="s">
        <v>533</v>
      </c>
      <c r="D967" s="385" t="s">
        <v>380</v>
      </c>
      <c r="E967" s="385" t="s">
        <v>19</v>
      </c>
      <c r="F967" s="385" t="s">
        <v>457</v>
      </c>
      <c r="G967" s="385" t="s">
        <v>19</v>
      </c>
      <c r="H967" s="386">
        <v>0</v>
      </c>
      <c r="I967" s="386">
        <v>3600</v>
      </c>
      <c r="J967" s="386">
        <v>0</v>
      </c>
      <c r="K967" s="386">
        <v>1328.73</v>
      </c>
      <c r="L967" s="387" t="s">
        <v>458</v>
      </c>
    </row>
    <row r="968" spans="1:12" ht="25.5" hidden="1">
      <c r="A968" s="385" t="s">
        <v>354</v>
      </c>
      <c r="B968" s="385" t="s">
        <v>495</v>
      </c>
      <c r="C968" s="385" t="s">
        <v>534</v>
      </c>
      <c r="D968" s="385" t="s">
        <v>380</v>
      </c>
      <c r="E968" s="385" t="s">
        <v>19</v>
      </c>
      <c r="F968" s="385" t="s">
        <v>457</v>
      </c>
      <c r="G968" s="385" t="s">
        <v>19</v>
      </c>
      <c r="H968" s="386">
        <v>0</v>
      </c>
      <c r="I968" s="386">
        <v>18613</v>
      </c>
      <c r="J968" s="386">
        <v>0</v>
      </c>
      <c r="K968" s="386">
        <v>5011.33</v>
      </c>
      <c r="L968" s="387" t="s">
        <v>458</v>
      </c>
    </row>
    <row r="969" spans="1:12" ht="25.5" hidden="1">
      <c r="A969" s="385" t="s">
        <v>354</v>
      </c>
      <c r="B969" s="385" t="s">
        <v>495</v>
      </c>
      <c r="C969" s="385" t="s">
        <v>535</v>
      </c>
      <c r="D969" s="385" t="s">
        <v>380</v>
      </c>
      <c r="E969" s="385" t="s">
        <v>19</v>
      </c>
      <c r="F969" s="385" t="s">
        <v>457</v>
      </c>
      <c r="G969" s="385" t="s">
        <v>19</v>
      </c>
      <c r="H969" s="386">
        <v>0</v>
      </c>
      <c r="I969" s="386">
        <v>479400</v>
      </c>
      <c r="J969" s="386">
        <v>0</v>
      </c>
      <c r="K969" s="386">
        <v>359550</v>
      </c>
      <c r="L969" s="387" t="s">
        <v>458</v>
      </c>
    </row>
    <row r="970" spans="1:12" ht="25.5" hidden="1">
      <c r="A970" s="385" t="s">
        <v>354</v>
      </c>
      <c r="B970" s="385" t="s">
        <v>495</v>
      </c>
      <c r="C970" s="385" t="s">
        <v>546</v>
      </c>
      <c r="D970" s="385" t="s">
        <v>380</v>
      </c>
      <c r="E970" s="385" t="s">
        <v>19</v>
      </c>
      <c r="F970" s="385" t="s">
        <v>457</v>
      </c>
      <c r="G970" s="385" t="s">
        <v>19</v>
      </c>
      <c r="H970" s="386">
        <v>0</v>
      </c>
      <c r="I970" s="386">
        <v>3186</v>
      </c>
      <c r="J970" s="386">
        <v>0</v>
      </c>
      <c r="K970" s="386">
        <v>3036</v>
      </c>
      <c r="L970" s="387" t="s">
        <v>458</v>
      </c>
    </row>
    <row r="971" spans="1:12" ht="25.5" hidden="1">
      <c r="A971" s="385" t="s">
        <v>354</v>
      </c>
      <c r="B971" s="385" t="s">
        <v>495</v>
      </c>
      <c r="C971" s="385" t="s">
        <v>547</v>
      </c>
      <c r="D971" s="385" t="s">
        <v>380</v>
      </c>
      <c r="E971" s="385" t="s">
        <v>19</v>
      </c>
      <c r="F971" s="385" t="s">
        <v>457</v>
      </c>
      <c r="G971" s="385" t="s">
        <v>19</v>
      </c>
      <c r="H971" s="386">
        <v>0</v>
      </c>
      <c r="I971" s="386">
        <v>555</v>
      </c>
      <c r="J971" s="386">
        <v>0</v>
      </c>
      <c r="K971" s="386">
        <v>554.16999999999996</v>
      </c>
      <c r="L971" s="387" t="s">
        <v>458</v>
      </c>
    </row>
    <row r="972" spans="1:12" hidden="1">
      <c r="A972" s="385" t="s">
        <v>354</v>
      </c>
      <c r="B972" s="385" t="s">
        <v>495</v>
      </c>
      <c r="C972" s="385" t="s">
        <v>538</v>
      </c>
      <c r="D972" s="385" t="s">
        <v>380</v>
      </c>
      <c r="E972" s="385" t="s">
        <v>19</v>
      </c>
      <c r="F972" s="385" t="s">
        <v>386</v>
      </c>
      <c r="G972" s="385" t="s">
        <v>19</v>
      </c>
      <c r="H972" s="386">
        <v>0</v>
      </c>
      <c r="I972" s="386">
        <v>3500</v>
      </c>
      <c r="J972" s="386">
        <v>0</v>
      </c>
      <c r="K972" s="386">
        <v>0</v>
      </c>
      <c r="L972" s="387" t="s">
        <v>387</v>
      </c>
    </row>
    <row r="973" spans="1:12" ht="25.5" hidden="1">
      <c r="A973" s="385" t="s">
        <v>354</v>
      </c>
      <c r="B973" s="385" t="s">
        <v>495</v>
      </c>
      <c r="C973" s="385" t="s">
        <v>539</v>
      </c>
      <c r="D973" s="385" t="s">
        <v>380</v>
      </c>
      <c r="E973" s="385" t="s">
        <v>19</v>
      </c>
      <c r="F973" s="385" t="s">
        <v>457</v>
      </c>
      <c r="G973" s="385" t="s">
        <v>19</v>
      </c>
      <c r="H973" s="386">
        <v>0</v>
      </c>
      <c r="I973" s="386">
        <v>910</v>
      </c>
      <c r="J973" s="386">
        <v>0</v>
      </c>
      <c r="K973" s="386">
        <v>605</v>
      </c>
      <c r="L973" s="387" t="s">
        <v>458</v>
      </c>
    </row>
    <row r="974" spans="1:12" ht="25.5" hidden="1">
      <c r="A974" s="385" t="s">
        <v>354</v>
      </c>
      <c r="B974" s="385" t="s">
        <v>495</v>
      </c>
      <c r="C974" s="385" t="s">
        <v>540</v>
      </c>
      <c r="D974" s="385" t="s">
        <v>380</v>
      </c>
      <c r="E974" s="385" t="s">
        <v>19</v>
      </c>
      <c r="F974" s="385" t="s">
        <v>457</v>
      </c>
      <c r="G974" s="385" t="s">
        <v>19</v>
      </c>
      <c r="H974" s="386">
        <v>0</v>
      </c>
      <c r="I974" s="386">
        <v>7300</v>
      </c>
      <c r="J974" s="386">
        <v>0</v>
      </c>
      <c r="K974" s="386">
        <v>1776</v>
      </c>
      <c r="L974" s="387" t="s">
        <v>458</v>
      </c>
    </row>
    <row r="975" spans="1:12" ht="25.5" hidden="1">
      <c r="A975" s="385" t="s">
        <v>354</v>
      </c>
      <c r="B975" s="385" t="s">
        <v>495</v>
      </c>
      <c r="C975" s="385" t="s">
        <v>548</v>
      </c>
      <c r="D975" s="385" t="s">
        <v>380</v>
      </c>
      <c r="E975" s="385" t="s">
        <v>19</v>
      </c>
      <c r="F975" s="385" t="s">
        <v>457</v>
      </c>
      <c r="G975" s="385" t="s">
        <v>19</v>
      </c>
      <c r="H975" s="386">
        <v>0</v>
      </c>
      <c r="I975" s="386">
        <v>27866</v>
      </c>
      <c r="J975" s="386">
        <v>0</v>
      </c>
      <c r="K975" s="386">
        <v>15556.7</v>
      </c>
      <c r="L975" s="387" t="s">
        <v>458</v>
      </c>
    </row>
    <row r="976" spans="1:12" ht="25.5" hidden="1">
      <c r="A976" s="385" t="s">
        <v>354</v>
      </c>
      <c r="B976" s="385" t="s">
        <v>495</v>
      </c>
      <c r="C976" s="385" t="s">
        <v>609</v>
      </c>
      <c r="D976" s="385" t="s">
        <v>380</v>
      </c>
      <c r="E976" s="385" t="s">
        <v>19</v>
      </c>
      <c r="F976" s="385" t="s">
        <v>457</v>
      </c>
      <c r="G976" s="385" t="s">
        <v>19</v>
      </c>
      <c r="H976" s="386">
        <v>0</v>
      </c>
      <c r="I976" s="386">
        <v>117098</v>
      </c>
      <c r="J976" s="386">
        <v>0</v>
      </c>
      <c r="K976" s="386">
        <v>86584.35</v>
      </c>
      <c r="L976" s="387" t="s">
        <v>458</v>
      </c>
    </row>
    <row r="977" spans="1:12" ht="25.5" hidden="1">
      <c r="A977" s="385" t="s">
        <v>354</v>
      </c>
      <c r="B977" s="385" t="s">
        <v>495</v>
      </c>
      <c r="C977" s="385" t="s">
        <v>541</v>
      </c>
      <c r="D977" s="385" t="s">
        <v>380</v>
      </c>
      <c r="E977" s="385" t="s">
        <v>19</v>
      </c>
      <c r="F977" s="385" t="s">
        <v>389</v>
      </c>
      <c r="G977" s="385" t="s">
        <v>19</v>
      </c>
      <c r="H977" s="386">
        <v>0</v>
      </c>
      <c r="I977" s="386">
        <v>0</v>
      </c>
      <c r="J977" s="386">
        <v>0</v>
      </c>
      <c r="K977" s="386">
        <v>0</v>
      </c>
      <c r="L977" s="387" t="s">
        <v>390</v>
      </c>
    </row>
    <row r="978" spans="1:12" ht="25.5" hidden="1">
      <c r="A978" s="385" t="s">
        <v>354</v>
      </c>
      <c r="B978" s="385" t="s">
        <v>495</v>
      </c>
      <c r="C978" s="385" t="s">
        <v>541</v>
      </c>
      <c r="D978" s="385" t="s">
        <v>380</v>
      </c>
      <c r="E978" s="385" t="s">
        <v>19</v>
      </c>
      <c r="F978" s="385" t="s">
        <v>457</v>
      </c>
      <c r="G978" s="385" t="s">
        <v>19</v>
      </c>
      <c r="H978" s="386">
        <v>0</v>
      </c>
      <c r="I978" s="386">
        <v>337878</v>
      </c>
      <c r="J978" s="386">
        <v>0</v>
      </c>
      <c r="K978" s="386">
        <v>0</v>
      </c>
      <c r="L978" s="387" t="s">
        <v>458</v>
      </c>
    </row>
    <row r="979" spans="1:12" hidden="1">
      <c r="A979" s="385" t="s">
        <v>354</v>
      </c>
      <c r="B979" s="385" t="s">
        <v>495</v>
      </c>
      <c r="C979" s="385" t="s">
        <v>541</v>
      </c>
      <c r="D979" s="385" t="s">
        <v>380</v>
      </c>
      <c r="E979" s="385" t="s">
        <v>19</v>
      </c>
      <c r="F979" s="385" t="s">
        <v>693</v>
      </c>
      <c r="G979" s="385" t="s">
        <v>19</v>
      </c>
      <c r="H979" s="386">
        <v>0</v>
      </c>
      <c r="I979" s="386">
        <v>0</v>
      </c>
      <c r="J979" s="386">
        <v>0</v>
      </c>
      <c r="K979" s="386">
        <v>0</v>
      </c>
      <c r="L979" s="387" t="s">
        <v>741</v>
      </c>
    </row>
    <row r="980" spans="1:12" ht="51" hidden="1">
      <c r="A980" s="385" t="s">
        <v>354</v>
      </c>
      <c r="B980" s="385" t="s">
        <v>495</v>
      </c>
      <c r="C980" s="385" t="s">
        <v>541</v>
      </c>
      <c r="D980" s="385" t="s">
        <v>380</v>
      </c>
      <c r="E980" s="385" t="s">
        <v>19</v>
      </c>
      <c r="F980" s="385" t="s">
        <v>665</v>
      </c>
      <c r="G980" s="385" t="s">
        <v>19</v>
      </c>
      <c r="H980" s="386">
        <v>0</v>
      </c>
      <c r="I980" s="386">
        <v>2033848.49</v>
      </c>
      <c r="J980" s="386">
        <v>0</v>
      </c>
      <c r="K980" s="386">
        <v>915820</v>
      </c>
      <c r="L980" s="387" t="s">
        <v>666</v>
      </c>
    </row>
    <row r="981" spans="1:12" ht="25.5" hidden="1">
      <c r="A981" s="385" t="s">
        <v>354</v>
      </c>
      <c r="B981" s="385" t="s">
        <v>495</v>
      </c>
      <c r="C981" s="385" t="s">
        <v>542</v>
      </c>
      <c r="D981" s="385" t="s">
        <v>380</v>
      </c>
      <c r="E981" s="385" t="s">
        <v>19</v>
      </c>
      <c r="F981" s="385" t="s">
        <v>457</v>
      </c>
      <c r="G981" s="385" t="s">
        <v>19</v>
      </c>
      <c r="H981" s="386">
        <v>0</v>
      </c>
      <c r="I981" s="386">
        <v>90159</v>
      </c>
      <c r="J981" s="386">
        <v>0</v>
      </c>
      <c r="K981" s="386">
        <v>53259</v>
      </c>
      <c r="L981" s="387" t="s">
        <v>458</v>
      </c>
    </row>
    <row r="982" spans="1:12" ht="51" hidden="1">
      <c r="A982" s="385" t="s">
        <v>354</v>
      </c>
      <c r="B982" s="385" t="s">
        <v>495</v>
      </c>
      <c r="C982" s="385" t="s">
        <v>400</v>
      </c>
      <c r="D982" s="385" t="s">
        <v>380</v>
      </c>
      <c r="E982" s="385" t="s">
        <v>19</v>
      </c>
      <c r="F982" s="385" t="s">
        <v>665</v>
      </c>
      <c r="G982" s="385" t="s">
        <v>19</v>
      </c>
      <c r="H982" s="386">
        <v>0</v>
      </c>
      <c r="I982" s="386">
        <v>8000000</v>
      </c>
      <c r="J982" s="386">
        <v>0</v>
      </c>
      <c r="K982" s="386">
        <v>3663180</v>
      </c>
      <c r="L982" s="387" t="s">
        <v>666</v>
      </c>
    </row>
    <row r="983" spans="1:12" hidden="1">
      <c r="A983" s="385" t="s">
        <v>354</v>
      </c>
      <c r="B983" s="385" t="s">
        <v>356</v>
      </c>
      <c r="C983" s="385" t="s">
        <v>510</v>
      </c>
      <c r="D983" s="385" t="s">
        <v>380</v>
      </c>
      <c r="E983" s="385" t="s">
        <v>19</v>
      </c>
      <c r="F983" s="385" t="s">
        <v>467</v>
      </c>
      <c r="G983" s="385" t="s">
        <v>12</v>
      </c>
      <c r="H983" s="386">
        <v>0</v>
      </c>
      <c r="I983" s="386">
        <v>30600</v>
      </c>
      <c r="J983" s="386">
        <v>0</v>
      </c>
      <c r="K983" s="386">
        <v>25200</v>
      </c>
      <c r="L983" s="387" t="s">
        <v>353</v>
      </c>
    </row>
    <row r="984" spans="1:12" ht="51" hidden="1">
      <c r="A984" s="385" t="s">
        <v>354</v>
      </c>
      <c r="B984" s="385" t="s">
        <v>356</v>
      </c>
      <c r="C984" s="385" t="s">
        <v>541</v>
      </c>
      <c r="D984" s="385" t="s">
        <v>380</v>
      </c>
      <c r="E984" s="385" t="s">
        <v>19</v>
      </c>
      <c r="F984" s="385" t="s">
        <v>665</v>
      </c>
      <c r="G984" s="385" t="s">
        <v>19</v>
      </c>
      <c r="H984" s="386">
        <v>0</v>
      </c>
      <c r="I984" s="386">
        <v>0</v>
      </c>
      <c r="J984" s="386">
        <v>0</v>
      </c>
      <c r="K984" s="386">
        <v>0</v>
      </c>
      <c r="L984" s="387" t="s">
        <v>666</v>
      </c>
    </row>
    <row r="985" spans="1:12" hidden="1">
      <c r="A985" s="385" t="s">
        <v>354</v>
      </c>
      <c r="B985" s="385" t="s">
        <v>610</v>
      </c>
      <c r="C985" s="385" t="s">
        <v>521</v>
      </c>
      <c r="D985" s="385" t="s">
        <v>380</v>
      </c>
      <c r="E985" s="385" t="s">
        <v>19</v>
      </c>
      <c r="F985" s="385" t="s">
        <v>467</v>
      </c>
      <c r="G985" s="385" t="s">
        <v>19</v>
      </c>
      <c r="H985" s="386">
        <v>0</v>
      </c>
      <c r="I985" s="386">
        <v>4500</v>
      </c>
      <c r="J985" s="386">
        <v>0</v>
      </c>
      <c r="K985" s="386">
        <v>2000</v>
      </c>
      <c r="L985" s="387" t="s">
        <v>353</v>
      </c>
    </row>
    <row r="986" spans="1:12" hidden="1">
      <c r="A986" s="385" t="s">
        <v>354</v>
      </c>
      <c r="B986" s="385" t="s">
        <v>610</v>
      </c>
      <c r="C986" s="385" t="s">
        <v>523</v>
      </c>
      <c r="D986" s="385" t="s">
        <v>380</v>
      </c>
      <c r="E986" s="385" t="s">
        <v>19</v>
      </c>
      <c r="F986" s="385" t="s">
        <v>467</v>
      </c>
      <c r="G986" s="385" t="s">
        <v>19</v>
      </c>
      <c r="H986" s="386">
        <v>0</v>
      </c>
      <c r="I986" s="386">
        <v>1518640</v>
      </c>
      <c r="J986" s="386">
        <v>0</v>
      </c>
      <c r="K986" s="386">
        <v>968677.52</v>
      </c>
      <c r="L986" s="387" t="s">
        <v>353</v>
      </c>
    </row>
    <row r="987" spans="1:12" hidden="1">
      <c r="A987" s="385" t="s">
        <v>354</v>
      </c>
      <c r="B987" s="385" t="s">
        <v>610</v>
      </c>
      <c r="C987" s="385" t="s">
        <v>524</v>
      </c>
      <c r="D987" s="385" t="s">
        <v>380</v>
      </c>
      <c r="E987" s="385" t="s">
        <v>19</v>
      </c>
      <c r="F987" s="385" t="s">
        <v>467</v>
      </c>
      <c r="G987" s="385" t="s">
        <v>19</v>
      </c>
      <c r="H987" s="386">
        <v>0</v>
      </c>
      <c r="I987" s="386">
        <v>98100</v>
      </c>
      <c r="J987" s="386">
        <v>0</v>
      </c>
      <c r="K987" s="386">
        <v>92324.66</v>
      </c>
      <c r="L987" s="387" t="s">
        <v>353</v>
      </c>
    </row>
    <row r="988" spans="1:12" hidden="1">
      <c r="A988" s="385" t="s">
        <v>354</v>
      </c>
      <c r="B988" s="385" t="s">
        <v>610</v>
      </c>
      <c r="C988" s="385" t="s">
        <v>525</v>
      </c>
      <c r="D988" s="385" t="s">
        <v>380</v>
      </c>
      <c r="E988" s="385" t="s">
        <v>19</v>
      </c>
      <c r="F988" s="385" t="s">
        <v>467</v>
      </c>
      <c r="G988" s="385" t="s">
        <v>19</v>
      </c>
      <c r="H988" s="386">
        <v>0</v>
      </c>
      <c r="I988" s="386">
        <v>309559</v>
      </c>
      <c r="J988" s="386">
        <v>0</v>
      </c>
      <c r="K988" s="386">
        <v>176682.87</v>
      </c>
      <c r="L988" s="387" t="s">
        <v>353</v>
      </c>
    </row>
    <row r="989" spans="1:12" hidden="1">
      <c r="A989" s="385" t="s">
        <v>354</v>
      </c>
      <c r="B989" s="385" t="s">
        <v>610</v>
      </c>
      <c r="C989" s="385" t="s">
        <v>526</v>
      </c>
      <c r="D989" s="385" t="s">
        <v>380</v>
      </c>
      <c r="E989" s="385" t="s">
        <v>19</v>
      </c>
      <c r="F989" s="385" t="s">
        <v>467</v>
      </c>
      <c r="G989" s="385" t="s">
        <v>19</v>
      </c>
      <c r="H989" s="386">
        <v>0</v>
      </c>
      <c r="I989" s="386">
        <v>45319</v>
      </c>
      <c r="J989" s="386">
        <v>0</v>
      </c>
      <c r="K989" s="386">
        <v>21405.7</v>
      </c>
      <c r="L989" s="387" t="s">
        <v>353</v>
      </c>
    </row>
    <row r="990" spans="1:12" hidden="1">
      <c r="A990" s="385" t="s">
        <v>354</v>
      </c>
      <c r="B990" s="385" t="s">
        <v>610</v>
      </c>
      <c r="C990" s="385" t="s">
        <v>527</v>
      </c>
      <c r="D990" s="385" t="s">
        <v>380</v>
      </c>
      <c r="E990" s="385" t="s">
        <v>19</v>
      </c>
      <c r="F990" s="385" t="s">
        <v>467</v>
      </c>
      <c r="G990" s="385" t="s">
        <v>19</v>
      </c>
      <c r="H990" s="386">
        <v>0</v>
      </c>
      <c r="I990" s="386">
        <v>50820</v>
      </c>
      <c r="J990" s="386">
        <v>0</v>
      </c>
      <c r="K990" s="386">
        <v>23520.86</v>
      </c>
      <c r="L990" s="387" t="s">
        <v>353</v>
      </c>
    </row>
    <row r="991" spans="1:12" hidden="1">
      <c r="A991" s="385" t="s">
        <v>354</v>
      </c>
      <c r="B991" s="385" t="s">
        <v>610</v>
      </c>
      <c r="C991" s="385" t="s">
        <v>528</v>
      </c>
      <c r="D991" s="385" t="s">
        <v>380</v>
      </c>
      <c r="E991" s="385" t="s">
        <v>19</v>
      </c>
      <c r="F991" s="385" t="s">
        <v>467</v>
      </c>
      <c r="G991" s="385" t="s">
        <v>19</v>
      </c>
      <c r="H991" s="386">
        <v>0</v>
      </c>
      <c r="I991" s="386">
        <v>17000</v>
      </c>
      <c r="J991" s="386">
        <v>0</v>
      </c>
      <c r="K991" s="386">
        <v>11770.08</v>
      </c>
      <c r="L991" s="387" t="s">
        <v>353</v>
      </c>
    </row>
    <row r="992" spans="1:12" hidden="1">
      <c r="A992" s="385" t="s">
        <v>354</v>
      </c>
      <c r="B992" s="385" t="s">
        <v>610</v>
      </c>
      <c r="C992" s="385" t="s">
        <v>530</v>
      </c>
      <c r="D992" s="385" t="s">
        <v>380</v>
      </c>
      <c r="E992" s="385" t="s">
        <v>19</v>
      </c>
      <c r="F992" s="385" t="s">
        <v>467</v>
      </c>
      <c r="G992" s="385" t="s">
        <v>19</v>
      </c>
      <c r="H992" s="386">
        <v>0</v>
      </c>
      <c r="I992" s="386">
        <v>24283</v>
      </c>
      <c r="J992" s="386">
        <v>0</v>
      </c>
      <c r="K992" s="386">
        <v>14948.21</v>
      </c>
      <c r="L992" s="387" t="s">
        <v>353</v>
      </c>
    </row>
    <row r="993" spans="1:12" hidden="1">
      <c r="A993" s="385" t="s">
        <v>354</v>
      </c>
      <c r="B993" s="385" t="s">
        <v>610</v>
      </c>
      <c r="C993" s="385" t="s">
        <v>416</v>
      </c>
      <c r="D993" s="385" t="s">
        <v>380</v>
      </c>
      <c r="E993" s="385" t="s">
        <v>19</v>
      </c>
      <c r="F993" s="385" t="s">
        <v>467</v>
      </c>
      <c r="G993" s="385" t="s">
        <v>19</v>
      </c>
      <c r="H993" s="386">
        <v>0</v>
      </c>
      <c r="I993" s="386">
        <v>5500</v>
      </c>
      <c r="J993" s="386">
        <v>0</v>
      </c>
      <c r="K993" s="386">
        <v>3638.3</v>
      </c>
      <c r="L993" s="387" t="s">
        <v>353</v>
      </c>
    </row>
    <row r="994" spans="1:12" hidden="1">
      <c r="A994" s="385" t="s">
        <v>354</v>
      </c>
      <c r="B994" s="385" t="s">
        <v>610</v>
      </c>
      <c r="C994" s="385" t="s">
        <v>531</v>
      </c>
      <c r="D994" s="385" t="s">
        <v>380</v>
      </c>
      <c r="E994" s="385" t="s">
        <v>19</v>
      </c>
      <c r="F994" s="385" t="s">
        <v>467</v>
      </c>
      <c r="G994" s="385" t="s">
        <v>19</v>
      </c>
      <c r="H994" s="386">
        <v>0</v>
      </c>
      <c r="I994" s="386">
        <v>1350</v>
      </c>
      <c r="J994" s="386">
        <v>0</v>
      </c>
      <c r="K994" s="386">
        <v>1090</v>
      </c>
      <c r="L994" s="387" t="s">
        <v>353</v>
      </c>
    </row>
    <row r="995" spans="1:12" hidden="1">
      <c r="A995" s="385" t="s">
        <v>354</v>
      </c>
      <c r="B995" s="385" t="s">
        <v>610</v>
      </c>
      <c r="C995" s="385" t="s">
        <v>510</v>
      </c>
      <c r="D995" s="385" t="s">
        <v>380</v>
      </c>
      <c r="E995" s="385" t="s">
        <v>19</v>
      </c>
      <c r="F995" s="385" t="s">
        <v>467</v>
      </c>
      <c r="G995" s="385" t="s">
        <v>19</v>
      </c>
      <c r="H995" s="386">
        <v>0</v>
      </c>
      <c r="I995" s="386">
        <v>85217</v>
      </c>
      <c r="J995" s="386">
        <v>0</v>
      </c>
      <c r="K995" s="386">
        <v>65453.84</v>
      </c>
      <c r="L995" s="387" t="s">
        <v>353</v>
      </c>
    </row>
    <row r="996" spans="1:12" hidden="1">
      <c r="A996" s="385" t="s">
        <v>354</v>
      </c>
      <c r="B996" s="385" t="s">
        <v>610</v>
      </c>
      <c r="C996" s="385" t="s">
        <v>532</v>
      </c>
      <c r="D996" s="385" t="s">
        <v>380</v>
      </c>
      <c r="E996" s="385" t="s">
        <v>19</v>
      </c>
      <c r="F996" s="385" t="s">
        <v>467</v>
      </c>
      <c r="G996" s="385" t="s">
        <v>19</v>
      </c>
      <c r="H996" s="386">
        <v>0</v>
      </c>
      <c r="I996" s="386">
        <v>3087</v>
      </c>
      <c r="J996" s="386">
        <v>0</v>
      </c>
      <c r="K996" s="386">
        <v>1628.11</v>
      </c>
      <c r="L996" s="387" t="s">
        <v>353</v>
      </c>
    </row>
    <row r="997" spans="1:12" hidden="1">
      <c r="A997" s="385" t="s">
        <v>354</v>
      </c>
      <c r="B997" s="385" t="s">
        <v>610</v>
      </c>
      <c r="C997" s="385" t="s">
        <v>545</v>
      </c>
      <c r="D997" s="385" t="s">
        <v>380</v>
      </c>
      <c r="E997" s="385" t="s">
        <v>19</v>
      </c>
      <c r="F997" s="385" t="s">
        <v>467</v>
      </c>
      <c r="G997" s="385" t="s">
        <v>19</v>
      </c>
      <c r="H997" s="386">
        <v>0</v>
      </c>
      <c r="I997" s="386">
        <v>14799</v>
      </c>
      <c r="J997" s="386">
        <v>0</v>
      </c>
      <c r="K997" s="386">
        <v>6887.92</v>
      </c>
      <c r="L997" s="387" t="s">
        <v>353</v>
      </c>
    </row>
    <row r="998" spans="1:12" hidden="1">
      <c r="A998" s="385" t="s">
        <v>354</v>
      </c>
      <c r="B998" s="385" t="s">
        <v>610</v>
      </c>
      <c r="C998" s="385" t="s">
        <v>533</v>
      </c>
      <c r="D998" s="385" t="s">
        <v>380</v>
      </c>
      <c r="E998" s="385" t="s">
        <v>19</v>
      </c>
      <c r="F998" s="385" t="s">
        <v>467</v>
      </c>
      <c r="G998" s="385" t="s">
        <v>19</v>
      </c>
      <c r="H998" s="386">
        <v>0</v>
      </c>
      <c r="I998" s="386">
        <v>1700</v>
      </c>
      <c r="J998" s="386">
        <v>0</v>
      </c>
      <c r="K998" s="386">
        <v>1218.95</v>
      </c>
      <c r="L998" s="387" t="s">
        <v>353</v>
      </c>
    </row>
    <row r="999" spans="1:12" hidden="1">
      <c r="A999" s="385" t="s">
        <v>354</v>
      </c>
      <c r="B999" s="385" t="s">
        <v>610</v>
      </c>
      <c r="C999" s="385" t="s">
        <v>534</v>
      </c>
      <c r="D999" s="385" t="s">
        <v>380</v>
      </c>
      <c r="E999" s="385" t="s">
        <v>19</v>
      </c>
      <c r="F999" s="385" t="s">
        <v>467</v>
      </c>
      <c r="G999" s="385" t="s">
        <v>19</v>
      </c>
      <c r="H999" s="386">
        <v>0</v>
      </c>
      <c r="I999" s="386">
        <v>3500</v>
      </c>
      <c r="J999" s="386">
        <v>0</v>
      </c>
      <c r="K999" s="386">
        <v>1155</v>
      </c>
      <c r="L999" s="387" t="s">
        <v>353</v>
      </c>
    </row>
    <row r="1000" spans="1:12" hidden="1">
      <c r="A1000" s="385" t="s">
        <v>354</v>
      </c>
      <c r="B1000" s="385" t="s">
        <v>610</v>
      </c>
      <c r="C1000" s="385" t="s">
        <v>535</v>
      </c>
      <c r="D1000" s="385" t="s">
        <v>380</v>
      </c>
      <c r="E1000" s="385" t="s">
        <v>19</v>
      </c>
      <c r="F1000" s="385" t="s">
        <v>467</v>
      </c>
      <c r="G1000" s="385" t="s">
        <v>19</v>
      </c>
      <c r="H1000" s="386">
        <v>0</v>
      </c>
      <c r="I1000" s="386">
        <v>37465</v>
      </c>
      <c r="J1000" s="386">
        <v>0</v>
      </c>
      <c r="K1000" s="386">
        <v>34549.74</v>
      </c>
      <c r="L1000" s="387" t="s">
        <v>353</v>
      </c>
    </row>
    <row r="1001" spans="1:12" hidden="1">
      <c r="A1001" s="385" t="s">
        <v>354</v>
      </c>
      <c r="B1001" s="385" t="s">
        <v>610</v>
      </c>
      <c r="C1001" s="385" t="s">
        <v>546</v>
      </c>
      <c r="D1001" s="385" t="s">
        <v>380</v>
      </c>
      <c r="E1001" s="385" t="s">
        <v>19</v>
      </c>
      <c r="F1001" s="385" t="s">
        <v>467</v>
      </c>
      <c r="G1001" s="385" t="s">
        <v>19</v>
      </c>
      <c r="H1001" s="386">
        <v>0</v>
      </c>
      <c r="I1001" s="386">
        <v>3622</v>
      </c>
      <c r="J1001" s="386">
        <v>0</v>
      </c>
      <c r="K1001" s="386">
        <v>2656</v>
      </c>
      <c r="L1001" s="387" t="s">
        <v>353</v>
      </c>
    </row>
    <row r="1002" spans="1:12" hidden="1">
      <c r="A1002" s="385" t="s">
        <v>354</v>
      </c>
      <c r="B1002" s="385" t="s">
        <v>610</v>
      </c>
      <c r="C1002" s="385" t="s">
        <v>547</v>
      </c>
      <c r="D1002" s="385" t="s">
        <v>380</v>
      </c>
      <c r="E1002" s="385" t="s">
        <v>19</v>
      </c>
      <c r="F1002" s="385" t="s">
        <v>467</v>
      </c>
      <c r="G1002" s="385" t="s">
        <v>19</v>
      </c>
      <c r="H1002" s="386">
        <v>0</v>
      </c>
      <c r="I1002" s="386">
        <v>696</v>
      </c>
      <c r="J1002" s="386">
        <v>0</v>
      </c>
      <c r="K1002" s="386">
        <v>696</v>
      </c>
      <c r="L1002" s="387" t="s">
        <v>353</v>
      </c>
    </row>
    <row r="1003" spans="1:12" hidden="1">
      <c r="A1003" s="385" t="s">
        <v>354</v>
      </c>
      <c r="B1003" s="385" t="s">
        <v>610</v>
      </c>
      <c r="C1003" s="385" t="s">
        <v>539</v>
      </c>
      <c r="D1003" s="385" t="s">
        <v>380</v>
      </c>
      <c r="E1003" s="385" t="s">
        <v>19</v>
      </c>
      <c r="F1003" s="385" t="s">
        <v>467</v>
      </c>
      <c r="G1003" s="385" t="s">
        <v>19</v>
      </c>
      <c r="H1003" s="386">
        <v>0</v>
      </c>
      <c r="I1003" s="386">
        <v>3200</v>
      </c>
      <c r="J1003" s="386">
        <v>0</v>
      </c>
      <c r="K1003" s="386">
        <v>51.77</v>
      </c>
      <c r="L1003" s="387" t="s">
        <v>353</v>
      </c>
    </row>
    <row r="1004" spans="1:12" hidden="1">
      <c r="A1004" s="385" t="s">
        <v>354</v>
      </c>
      <c r="B1004" s="385" t="s">
        <v>610</v>
      </c>
      <c r="C1004" s="385" t="s">
        <v>540</v>
      </c>
      <c r="D1004" s="385" t="s">
        <v>380</v>
      </c>
      <c r="E1004" s="385" t="s">
        <v>19</v>
      </c>
      <c r="F1004" s="385" t="s">
        <v>467</v>
      </c>
      <c r="G1004" s="385" t="s">
        <v>19</v>
      </c>
      <c r="H1004" s="386">
        <v>0</v>
      </c>
      <c r="I1004" s="386">
        <v>3700</v>
      </c>
      <c r="J1004" s="386">
        <v>0</v>
      </c>
      <c r="K1004" s="386">
        <v>400</v>
      </c>
      <c r="L1004" s="387" t="s">
        <v>353</v>
      </c>
    </row>
    <row r="1005" spans="1:12" hidden="1">
      <c r="A1005" s="385" t="s">
        <v>354</v>
      </c>
      <c r="B1005" s="385" t="s">
        <v>610</v>
      </c>
      <c r="C1005" s="385" t="s">
        <v>548</v>
      </c>
      <c r="D1005" s="385" t="s">
        <v>380</v>
      </c>
      <c r="E1005" s="385" t="s">
        <v>19</v>
      </c>
      <c r="F1005" s="385" t="s">
        <v>467</v>
      </c>
      <c r="G1005" s="385" t="s">
        <v>19</v>
      </c>
      <c r="H1005" s="386">
        <v>0</v>
      </c>
      <c r="I1005" s="386">
        <v>23622</v>
      </c>
      <c r="J1005" s="386">
        <v>0</v>
      </c>
      <c r="K1005" s="386">
        <v>0</v>
      </c>
      <c r="L1005" s="387" t="s">
        <v>353</v>
      </c>
    </row>
    <row r="1006" spans="1:12" hidden="1">
      <c r="A1006" s="385" t="s">
        <v>354</v>
      </c>
      <c r="B1006" s="385" t="s">
        <v>497</v>
      </c>
      <c r="C1006" s="385" t="s">
        <v>521</v>
      </c>
      <c r="D1006" s="385" t="s">
        <v>380</v>
      </c>
      <c r="E1006" s="385" t="s">
        <v>19</v>
      </c>
      <c r="F1006" s="385" t="s">
        <v>467</v>
      </c>
      <c r="G1006" s="385" t="s">
        <v>19</v>
      </c>
      <c r="H1006" s="386">
        <v>0</v>
      </c>
      <c r="I1006" s="386">
        <v>500</v>
      </c>
      <c r="J1006" s="386">
        <v>0</v>
      </c>
      <c r="K1006" s="386">
        <v>500</v>
      </c>
      <c r="L1006" s="387" t="s">
        <v>353</v>
      </c>
    </row>
    <row r="1007" spans="1:12" hidden="1">
      <c r="A1007" s="385" t="s">
        <v>354</v>
      </c>
      <c r="B1007" s="385" t="s">
        <v>497</v>
      </c>
      <c r="C1007" s="385" t="s">
        <v>523</v>
      </c>
      <c r="D1007" s="385" t="s">
        <v>380</v>
      </c>
      <c r="E1007" s="385" t="s">
        <v>19</v>
      </c>
      <c r="F1007" s="385" t="s">
        <v>467</v>
      </c>
      <c r="G1007" s="385" t="s">
        <v>19</v>
      </c>
      <c r="H1007" s="386">
        <v>0</v>
      </c>
      <c r="I1007" s="386">
        <v>95433</v>
      </c>
      <c r="J1007" s="386">
        <v>0</v>
      </c>
      <c r="K1007" s="386">
        <v>68734.559999999998</v>
      </c>
      <c r="L1007" s="387" t="s">
        <v>353</v>
      </c>
    </row>
    <row r="1008" spans="1:12" hidden="1">
      <c r="A1008" s="385" t="s">
        <v>354</v>
      </c>
      <c r="B1008" s="385" t="s">
        <v>497</v>
      </c>
      <c r="C1008" s="385" t="s">
        <v>524</v>
      </c>
      <c r="D1008" s="385" t="s">
        <v>380</v>
      </c>
      <c r="E1008" s="385" t="s">
        <v>19</v>
      </c>
      <c r="F1008" s="385" t="s">
        <v>467</v>
      </c>
      <c r="G1008" s="385" t="s">
        <v>19</v>
      </c>
      <c r="H1008" s="386">
        <v>0</v>
      </c>
      <c r="I1008" s="386">
        <v>7412</v>
      </c>
      <c r="J1008" s="386">
        <v>0</v>
      </c>
      <c r="K1008" s="386">
        <v>7404.47</v>
      </c>
      <c r="L1008" s="387" t="s">
        <v>353</v>
      </c>
    </row>
    <row r="1009" spans="1:12" hidden="1">
      <c r="A1009" s="385" t="s">
        <v>354</v>
      </c>
      <c r="B1009" s="385" t="s">
        <v>497</v>
      </c>
      <c r="C1009" s="385" t="s">
        <v>525</v>
      </c>
      <c r="D1009" s="385" t="s">
        <v>380</v>
      </c>
      <c r="E1009" s="385" t="s">
        <v>19</v>
      </c>
      <c r="F1009" s="385" t="s">
        <v>467</v>
      </c>
      <c r="G1009" s="385" t="s">
        <v>19</v>
      </c>
      <c r="H1009" s="386">
        <v>0</v>
      </c>
      <c r="I1009" s="386">
        <v>15233</v>
      </c>
      <c r="J1009" s="386">
        <v>0</v>
      </c>
      <c r="K1009" s="386">
        <v>13627.69</v>
      </c>
      <c r="L1009" s="387" t="s">
        <v>353</v>
      </c>
    </row>
    <row r="1010" spans="1:12" hidden="1">
      <c r="A1010" s="385" t="s">
        <v>354</v>
      </c>
      <c r="B1010" s="385" t="s">
        <v>497</v>
      </c>
      <c r="C1010" s="385" t="s">
        <v>526</v>
      </c>
      <c r="D1010" s="385" t="s">
        <v>380</v>
      </c>
      <c r="E1010" s="385" t="s">
        <v>19</v>
      </c>
      <c r="F1010" s="385" t="s">
        <v>467</v>
      </c>
      <c r="G1010" s="385" t="s">
        <v>19</v>
      </c>
      <c r="H1010" s="386">
        <v>0</v>
      </c>
      <c r="I1010" s="386">
        <v>708</v>
      </c>
      <c r="J1010" s="386">
        <v>0</v>
      </c>
      <c r="K1010" s="386">
        <v>73</v>
      </c>
      <c r="L1010" s="387" t="s">
        <v>353</v>
      </c>
    </row>
    <row r="1011" spans="1:12" hidden="1">
      <c r="A1011" s="385" t="s">
        <v>354</v>
      </c>
      <c r="B1011" s="385" t="s">
        <v>497</v>
      </c>
      <c r="C1011" s="385" t="s">
        <v>527</v>
      </c>
      <c r="D1011" s="385" t="s">
        <v>380</v>
      </c>
      <c r="E1011" s="385" t="s">
        <v>19</v>
      </c>
      <c r="F1011" s="385" t="s">
        <v>467</v>
      </c>
      <c r="G1011" s="385" t="s">
        <v>19</v>
      </c>
      <c r="H1011" s="386">
        <v>0</v>
      </c>
      <c r="I1011" s="386">
        <v>6600</v>
      </c>
      <c r="J1011" s="386">
        <v>0</v>
      </c>
      <c r="K1011" s="386">
        <v>5210</v>
      </c>
      <c r="L1011" s="387" t="s">
        <v>353</v>
      </c>
    </row>
    <row r="1012" spans="1:12" hidden="1">
      <c r="A1012" s="385" t="s">
        <v>354</v>
      </c>
      <c r="B1012" s="385" t="s">
        <v>497</v>
      </c>
      <c r="C1012" s="385" t="s">
        <v>528</v>
      </c>
      <c r="D1012" s="385" t="s">
        <v>380</v>
      </c>
      <c r="E1012" s="385" t="s">
        <v>19</v>
      </c>
      <c r="F1012" s="385" t="s">
        <v>467</v>
      </c>
      <c r="G1012" s="385" t="s">
        <v>19</v>
      </c>
      <c r="H1012" s="386">
        <v>0</v>
      </c>
      <c r="I1012" s="386">
        <v>2000</v>
      </c>
      <c r="J1012" s="386">
        <v>0</v>
      </c>
      <c r="K1012" s="386">
        <v>673.43</v>
      </c>
      <c r="L1012" s="387" t="s">
        <v>353</v>
      </c>
    </row>
    <row r="1013" spans="1:12" hidden="1">
      <c r="A1013" s="385" t="s">
        <v>354</v>
      </c>
      <c r="B1013" s="385" t="s">
        <v>497</v>
      </c>
      <c r="C1013" s="385" t="s">
        <v>510</v>
      </c>
      <c r="D1013" s="385" t="s">
        <v>380</v>
      </c>
      <c r="E1013" s="385" t="s">
        <v>19</v>
      </c>
      <c r="F1013" s="385" t="s">
        <v>467</v>
      </c>
      <c r="G1013" s="385" t="s">
        <v>19</v>
      </c>
      <c r="H1013" s="386">
        <v>0</v>
      </c>
      <c r="I1013" s="386">
        <v>3095</v>
      </c>
      <c r="J1013" s="386">
        <v>0</v>
      </c>
      <c r="K1013" s="386">
        <v>0</v>
      </c>
      <c r="L1013" s="387" t="s">
        <v>353</v>
      </c>
    </row>
    <row r="1014" spans="1:12" hidden="1">
      <c r="A1014" s="385" t="s">
        <v>354</v>
      </c>
      <c r="B1014" s="385" t="s">
        <v>497</v>
      </c>
      <c r="C1014" s="385" t="s">
        <v>532</v>
      </c>
      <c r="D1014" s="385" t="s">
        <v>380</v>
      </c>
      <c r="E1014" s="385" t="s">
        <v>19</v>
      </c>
      <c r="F1014" s="385" t="s">
        <v>467</v>
      </c>
      <c r="G1014" s="385" t="s">
        <v>19</v>
      </c>
      <c r="H1014" s="386">
        <v>0</v>
      </c>
      <c r="I1014" s="386">
        <v>1800</v>
      </c>
      <c r="J1014" s="386">
        <v>0</v>
      </c>
      <c r="K1014" s="386">
        <v>1566.65</v>
      </c>
      <c r="L1014" s="387" t="s">
        <v>353</v>
      </c>
    </row>
    <row r="1015" spans="1:12" hidden="1">
      <c r="A1015" s="385" t="s">
        <v>354</v>
      </c>
      <c r="B1015" s="385" t="s">
        <v>497</v>
      </c>
      <c r="C1015" s="385" t="s">
        <v>533</v>
      </c>
      <c r="D1015" s="385" t="s">
        <v>380</v>
      </c>
      <c r="E1015" s="385" t="s">
        <v>19</v>
      </c>
      <c r="F1015" s="385" t="s">
        <v>467</v>
      </c>
      <c r="G1015" s="385" t="s">
        <v>19</v>
      </c>
      <c r="H1015" s="386">
        <v>0</v>
      </c>
      <c r="I1015" s="386">
        <v>300</v>
      </c>
      <c r="J1015" s="386">
        <v>0</v>
      </c>
      <c r="K1015" s="386">
        <v>220.8</v>
      </c>
      <c r="L1015" s="387" t="s">
        <v>353</v>
      </c>
    </row>
    <row r="1016" spans="1:12" hidden="1">
      <c r="A1016" s="385" t="s">
        <v>354</v>
      </c>
      <c r="B1016" s="385" t="s">
        <v>497</v>
      </c>
      <c r="C1016" s="385" t="s">
        <v>535</v>
      </c>
      <c r="D1016" s="385" t="s">
        <v>380</v>
      </c>
      <c r="E1016" s="385" t="s">
        <v>19</v>
      </c>
      <c r="F1016" s="385" t="s">
        <v>467</v>
      </c>
      <c r="G1016" s="385" t="s">
        <v>19</v>
      </c>
      <c r="H1016" s="386">
        <v>0</v>
      </c>
      <c r="I1016" s="386">
        <v>2724</v>
      </c>
      <c r="J1016" s="386">
        <v>0</v>
      </c>
      <c r="K1016" s="386">
        <v>2042.55</v>
      </c>
      <c r="L1016" s="387" t="s">
        <v>353</v>
      </c>
    </row>
    <row r="1017" spans="1:12" hidden="1">
      <c r="A1017" s="385" t="s">
        <v>354</v>
      </c>
      <c r="B1017" s="385" t="s">
        <v>497</v>
      </c>
      <c r="C1017" s="385" t="s">
        <v>540</v>
      </c>
      <c r="D1017" s="385" t="s">
        <v>380</v>
      </c>
      <c r="E1017" s="385" t="s">
        <v>19</v>
      </c>
      <c r="F1017" s="385" t="s">
        <v>467</v>
      </c>
      <c r="G1017" s="385" t="s">
        <v>19</v>
      </c>
      <c r="H1017" s="386">
        <v>0</v>
      </c>
      <c r="I1017" s="386">
        <v>194</v>
      </c>
      <c r="J1017" s="386">
        <v>0</v>
      </c>
      <c r="K1017" s="386">
        <v>0</v>
      </c>
      <c r="L1017" s="387" t="s">
        <v>353</v>
      </c>
    </row>
    <row r="1018" spans="1:12" hidden="1">
      <c r="A1018" s="385" t="s">
        <v>354</v>
      </c>
      <c r="B1018" s="385" t="s">
        <v>497</v>
      </c>
      <c r="C1018" s="385" t="s">
        <v>548</v>
      </c>
      <c r="D1018" s="385" t="s">
        <v>380</v>
      </c>
      <c r="E1018" s="385" t="s">
        <v>19</v>
      </c>
      <c r="F1018" s="385" t="s">
        <v>467</v>
      </c>
      <c r="G1018" s="385" t="s">
        <v>19</v>
      </c>
      <c r="H1018" s="386">
        <v>0</v>
      </c>
      <c r="I1018" s="386">
        <v>1506</v>
      </c>
      <c r="J1018" s="386">
        <v>0</v>
      </c>
      <c r="K1018" s="386">
        <v>0</v>
      </c>
      <c r="L1018" s="387" t="s">
        <v>353</v>
      </c>
    </row>
    <row r="1019" spans="1:12" ht="25.5" hidden="1">
      <c r="A1019" s="385" t="s">
        <v>354</v>
      </c>
      <c r="B1019" s="385" t="s">
        <v>771</v>
      </c>
      <c r="C1019" s="385" t="s">
        <v>498</v>
      </c>
      <c r="D1019" s="385" t="s">
        <v>380</v>
      </c>
      <c r="E1019" s="385" t="s">
        <v>19</v>
      </c>
      <c r="F1019" s="385" t="s">
        <v>392</v>
      </c>
      <c r="G1019" s="385" t="s">
        <v>19</v>
      </c>
      <c r="H1019" s="386">
        <v>0</v>
      </c>
      <c r="I1019" s="386">
        <v>0</v>
      </c>
      <c r="J1019" s="386">
        <v>0</v>
      </c>
      <c r="K1019" s="386">
        <v>0</v>
      </c>
      <c r="L1019" s="387" t="s">
        <v>393</v>
      </c>
    </row>
    <row r="1020" spans="1:12" ht="25.5" hidden="1">
      <c r="A1020" s="385" t="s">
        <v>354</v>
      </c>
      <c r="B1020" s="385" t="s">
        <v>611</v>
      </c>
      <c r="C1020" s="385" t="s">
        <v>617</v>
      </c>
      <c r="D1020" s="385" t="s">
        <v>380</v>
      </c>
      <c r="E1020" s="385" t="s">
        <v>19</v>
      </c>
      <c r="F1020" s="385" t="s">
        <v>671</v>
      </c>
      <c r="G1020" s="385" t="s">
        <v>19</v>
      </c>
      <c r="H1020" s="386">
        <v>0</v>
      </c>
      <c r="I1020" s="386">
        <v>394537.12</v>
      </c>
      <c r="J1020" s="386">
        <v>0</v>
      </c>
      <c r="K1020" s="386">
        <v>261898.79</v>
      </c>
      <c r="L1020" s="387" t="s">
        <v>672</v>
      </c>
    </row>
    <row r="1021" spans="1:12" ht="25.5" hidden="1">
      <c r="A1021" s="385" t="s">
        <v>354</v>
      </c>
      <c r="B1021" s="385" t="s">
        <v>611</v>
      </c>
      <c r="C1021" s="385" t="s">
        <v>618</v>
      </c>
      <c r="D1021" s="385" t="s">
        <v>380</v>
      </c>
      <c r="E1021" s="385" t="s">
        <v>19</v>
      </c>
      <c r="F1021" s="385" t="s">
        <v>671</v>
      </c>
      <c r="G1021" s="385" t="s">
        <v>19</v>
      </c>
      <c r="H1021" s="386">
        <v>0</v>
      </c>
      <c r="I1021" s="386">
        <v>46434.29</v>
      </c>
      <c r="J1021" s="386">
        <v>0</v>
      </c>
      <c r="K1021" s="386">
        <v>30823.69</v>
      </c>
      <c r="L1021" s="387" t="s">
        <v>672</v>
      </c>
    </row>
    <row r="1022" spans="1:12" ht="25.5" hidden="1">
      <c r="A1022" s="385" t="s">
        <v>354</v>
      </c>
      <c r="B1022" s="385" t="s">
        <v>611</v>
      </c>
      <c r="C1022" s="385" t="s">
        <v>772</v>
      </c>
      <c r="D1022" s="385" t="s">
        <v>380</v>
      </c>
      <c r="E1022" s="385" t="s">
        <v>19</v>
      </c>
      <c r="F1022" s="385" t="s">
        <v>671</v>
      </c>
      <c r="G1022" s="385" t="s">
        <v>19</v>
      </c>
      <c r="H1022" s="386">
        <v>0</v>
      </c>
      <c r="I1022" s="386">
        <v>3949.44</v>
      </c>
      <c r="J1022" s="386">
        <v>0</v>
      </c>
      <c r="K1022" s="386">
        <v>3949.44</v>
      </c>
      <c r="L1022" s="387" t="s">
        <v>672</v>
      </c>
    </row>
    <row r="1023" spans="1:12" ht="25.5" hidden="1">
      <c r="A1023" s="385" t="s">
        <v>354</v>
      </c>
      <c r="B1023" s="385" t="s">
        <v>611</v>
      </c>
      <c r="C1023" s="385" t="s">
        <v>773</v>
      </c>
      <c r="D1023" s="385" t="s">
        <v>380</v>
      </c>
      <c r="E1023" s="385" t="s">
        <v>19</v>
      </c>
      <c r="F1023" s="385" t="s">
        <v>671</v>
      </c>
      <c r="G1023" s="385" t="s">
        <v>19</v>
      </c>
      <c r="H1023" s="386">
        <v>0</v>
      </c>
      <c r="I1023" s="386">
        <v>464.82</v>
      </c>
      <c r="J1023" s="386">
        <v>0</v>
      </c>
      <c r="K1023" s="386">
        <v>464.82</v>
      </c>
      <c r="L1023" s="387" t="s">
        <v>672</v>
      </c>
    </row>
    <row r="1024" spans="1:12" ht="25.5" hidden="1">
      <c r="A1024" s="385" t="s">
        <v>354</v>
      </c>
      <c r="B1024" s="385" t="s">
        <v>611</v>
      </c>
      <c r="C1024" s="385" t="s">
        <v>619</v>
      </c>
      <c r="D1024" s="385" t="s">
        <v>380</v>
      </c>
      <c r="E1024" s="385" t="s">
        <v>19</v>
      </c>
      <c r="F1024" s="385" t="s">
        <v>671</v>
      </c>
      <c r="G1024" s="385" t="s">
        <v>19</v>
      </c>
      <c r="H1024" s="386">
        <v>0</v>
      </c>
      <c r="I1024" s="386">
        <v>68619.39</v>
      </c>
      <c r="J1024" s="386">
        <v>0</v>
      </c>
      <c r="K1024" s="386">
        <v>45272.81</v>
      </c>
      <c r="L1024" s="387" t="s">
        <v>672</v>
      </c>
    </row>
    <row r="1025" spans="1:12" ht="25.5" hidden="1">
      <c r="A1025" s="385" t="s">
        <v>354</v>
      </c>
      <c r="B1025" s="385" t="s">
        <v>611</v>
      </c>
      <c r="C1025" s="385" t="s">
        <v>620</v>
      </c>
      <c r="D1025" s="385" t="s">
        <v>380</v>
      </c>
      <c r="E1025" s="385" t="s">
        <v>19</v>
      </c>
      <c r="F1025" s="385" t="s">
        <v>671</v>
      </c>
      <c r="G1025" s="385" t="s">
        <v>19</v>
      </c>
      <c r="H1025" s="386">
        <v>0</v>
      </c>
      <c r="I1025" s="386">
        <v>8076.03</v>
      </c>
      <c r="J1025" s="386">
        <v>0</v>
      </c>
      <c r="K1025" s="386">
        <v>5328.3</v>
      </c>
      <c r="L1025" s="387" t="s">
        <v>672</v>
      </c>
    </row>
    <row r="1026" spans="1:12" ht="25.5" hidden="1">
      <c r="A1026" s="385" t="s">
        <v>354</v>
      </c>
      <c r="B1026" s="385" t="s">
        <v>611</v>
      </c>
      <c r="C1026" s="385" t="s">
        <v>621</v>
      </c>
      <c r="D1026" s="385" t="s">
        <v>380</v>
      </c>
      <c r="E1026" s="385" t="s">
        <v>19</v>
      </c>
      <c r="F1026" s="385" t="s">
        <v>671</v>
      </c>
      <c r="G1026" s="385" t="s">
        <v>19</v>
      </c>
      <c r="H1026" s="386">
        <v>0</v>
      </c>
      <c r="I1026" s="386">
        <v>9702.69</v>
      </c>
      <c r="J1026" s="386">
        <v>0</v>
      </c>
      <c r="K1026" s="386">
        <v>4920.3999999999996</v>
      </c>
      <c r="L1026" s="387" t="s">
        <v>672</v>
      </c>
    </row>
    <row r="1027" spans="1:12" ht="25.5" hidden="1">
      <c r="A1027" s="385" t="s">
        <v>354</v>
      </c>
      <c r="B1027" s="385" t="s">
        <v>611</v>
      </c>
      <c r="C1027" s="385" t="s">
        <v>622</v>
      </c>
      <c r="D1027" s="385" t="s">
        <v>380</v>
      </c>
      <c r="E1027" s="385" t="s">
        <v>19</v>
      </c>
      <c r="F1027" s="385" t="s">
        <v>671</v>
      </c>
      <c r="G1027" s="385" t="s">
        <v>19</v>
      </c>
      <c r="H1027" s="386">
        <v>0</v>
      </c>
      <c r="I1027" s="386">
        <v>1141.94</v>
      </c>
      <c r="J1027" s="386">
        <v>0</v>
      </c>
      <c r="K1027" s="386">
        <v>579.1</v>
      </c>
      <c r="L1027" s="387" t="s">
        <v>672</v>
      </c>
    </row>
    <row r="1028" spans="1:12" ht="25.5" hidden="1">
      <c r="A1028" s="385" t="s">
        <v>354</v>
      </c>
      <c r="B1028" s="385" t="s">
        <v>611</v>
      </c>
      <c r="C1028" s="385" t="s">
        <v>623</v>
      </c>
      <c r="D1028" s="385" t="s">
        <v>380</v>
      </c>
      <c r="E1028" s="385" t="s">
        <v>19</v>
      </c>
      <c r="F1028" s="385" t="s">
        <v>671</v>
      </c>
      <c r="G1028" s="385" t="s">
        <v>19</v>
      </c>
      <c r="H1028" s="386">
        <v>0</v>
      </c>
      <c r="I1028" s="386">
        <v>52379.32</v>
      </c>
      <c r="J1028" s="386">
        <v>0</v>
      </c>
      <c r="K1028" s="386">
        <v>0</v>
      </c>
      <c r="L1028" s="387" t="s">
        <v>672</v>
      </c>
    </row>
    <row r="1029" spans="1:12" ht="25.5" hidden="1">
      <c r="A1029" s="385" t="s">
        <v>354</v>
      </c>
      <c r="B1029" s="385" t="s">
        <v>611</v>
      </c>
      <c r="C1029" s="385" t="s">
        <v>624</v>
      </c>
      <c r="D1029" s="385" t="s">
        <v>380</v>
      </c>
      <c r="E1029" s="385" t="s">
        <v>19</v>
      </c>
      <c r="F1029" s="385" t="s">
        <v>671</v>
      </c>
      <c r="G1029" s="385" t="s">
        <v>19</v>
      </c>
      <c r="H1029" s="386">
        <v>0</v>
      </c>
      <c r="I1029" s="386">
        <v>6164.68</v>
      </c>
      <c r="J1029" s="386">
        <v>0</v>
      </c>
      <c r="K1029" s="386">
        <v>0</v>
      </c>
      <c r="L1029" s="387" t="s">
        <v>672</v>
      </c>
    </row>
    <row r="1030" spans="1:12" ht="25.5" hidden="1">
      <c r="A1030" s="385" t="s">
        <v>354</v>
      </c>
      <c r="B1030" s="385" t="s">
        <v>611</v>
      </c>
      <c r="C1030" s="385" t="s">
        <v>555</v>
      </c>
      <c r="D1030" s="385" t="s">
        <v>380</v>
      </c>
      <c r="E1030" s="385" t="s">
        <v>19</v>
      </c>
      <c r="F1030" s="385" t="s">
        <v>671</v>
      </c>
      <c r="G1030" s="385" t="s">
        <v>19</v>
      </c>
      <c r="H1030" s="386">
        <v>0</v>
      </c>
      <c r="I1030" s="386">
        <v>98006.33</v>
      </c>
      <c r="J1030" s="386">
        <v>0</v>
      </c>
      <c r="K1030" s="386">
        <v>40259.660000000003</v>
      </c>
      <c r="L1030" s="387" t="s">
        <v>672</v>
      </c>
    </row>
    <row r="1031" spans="1:12" ht="25.5" hidden="1">
      <c r="A1031" s="385" t="s">
        <v>354</v>
      </c>
      <c r="B1031" s="385" t="s">
        <v>611</v>
      </c>
      <c r="C1031" s="385" t="s">
        <v>566</v>
      </c>
      <c r="D1031" s="385" t="s">
        <v>380</v>
      </c>
      <c r="E1031" s="385" t="s">
        <v>19</v>
      </c>
      <c r="F1031" s="385" t="s">
        <v>671</v>
      </c>
      <c r="G1031" s="385" t="s">
        <v>19</v>
      </c>
      <c r="H1031" s="386">
        <v>0</v>
      </c>
      <c r="I1031" s="386">
        <v>11534.67</v>
      </c>
      <c r="J1031" s="386">
        <v>0</v>
      </c>
      <c r="K1031" s="386">
        <v>4738.28</v>
      </c>
      <c r="L1031" s="387" t="s">
        <v>672</v>
      </c>
    </row>
    <row r="1032" spans="1:12" ht="25.5" hidden="1">
      <c r="A1032" s="385" t="s">
        <v>354</v>
      </c>
      <c r="B1032" s="385" t="s">
        <v>611</v>
      </c>
      <c r="C1032" s="385" t="s">
        <v>687</v>
      </c>
      <c r="D1032" s="385" t="s">
        <v>380</v>
      </c>
      <c r="E1032" s="385" t="s">
        <v>19</v>
      </c>
      <c r="F1032" s="385" t="s">
        <v>671</v>
      </c>
      <c r="G1032" s="385" t="s">
        <v>19</v>
      </c>
      <c r="H1032" s="386">
        <v>0</v>
      </c>
      <c r="I1032" s="386">
        <v>10978.86</v>
      </c>
      <c r="J1032" s="386">
        <v>0</v>
      </c>
      <c r="K1032" s="386">
        <v>10974.72</v>
      </c>
      <c r="L1032" s="387" t="s">
        <v>672</v>
      </c>
    </row>
    <row r="1033" spans="1:12" ht="25.5" hidden="1">
      <c r="A1033" s="385" t="s">
        <v>354</v>
      </c>
      <c r="B1033" s="385" t="s">
        <v>611</v>
      </c>
      <c r="C1033" s="385" t="s">
        <v>688</v>
      </c>
      <c r="D1033" s="385" t="s">
        <v>380</v>
      </c>
      <c r="E1033" s="385" t="s">
        <v>19</v>
      </c>
      <c r="F1033" s="385" t="s">
        <v>671</v>
      </c>
      <c r="G1033" s="385" t="s">
        <v>19</v>
      </c>
      <c r="H1033" s="386">
        <v>0</v>
      </c>
      <c r="I1033" s="386">
        <v>1292.1400000000001</v>
      </c>
      <c r="J1033" s="386">
        <v>0</v>
      </c>
      <c r="K1033" s="386">
        <v>1291.6600000000001</v>
      </c>
      <c r="L1033" s="387" t="s">
        <v>672</v>
      </c>
    </row>
    <row r="1034" spans="1:12" hidden="1">
      <c r="A1034" s="385" t="s">
        <v>354</v>
      </c>
      <c r="B1034" s="385" t="s">
        <v>611</v>
      </c>
      <c r="C1034" s="385" t="s">
        <v>510</v>
      </c>
      <c r="D1034" s="385" t="s">
        <v>380</v>
      </c>
      <c r="E1034" s="385" t="s">
        <v>19</v>
      </c>
      <c r="F1034" s="385" t="s">
        <v>467</v>
      </c>
      <c r="G1034" s="385" t="s">
        <v>12</v>
      </c>
      <c r="H1034" s="386">
        <v>0</v>
      </c>
      <c r="I1034" s="386">
        <v>4132.8</v>
      </c>
      <c r="J1034" s="386">
        <v>0</v>
      </c>
      <c r="K1034" s="386">
        <v>2755.2</v>
      </c>
      <c r="L1034" s="387" t="s">
        <v>353</v>
      </c>
    </row>
    <row r="1035" spans="1:12" ht="25.5" hidden="1">
      <c r="A1035" s="385" t="s">
        <v>354</v>
      </c>
      <c r="B1035" s="385" t="s">
        <v>611</v>
      </c>
      <c r="C1035" s="385" t="s">
        <v>551</v>
      </c>
      <c r="D1035" s="385" t="s">
        <v>380</v>
      </c>
      <c r="E1035" s="385" t="s">
        <v>19</v>
      </c>
      <c r="F1035" s="385" t="s">
        <v>671</v>
      </c>
      <c r="G1035" s="385" t="s">
        <v>19</v>
      </c>
      <c r="H1035" s="386">
        <v>0</v>
      </c>
      <c r="I1035" s="386">
        <v>32248.57</v>
      </c>
      <c r="J1035" s="386">
        <v>0</v>
      </c>
      <c r="K1035" s="386">
        <v>7646.07</v>
      </c>
      <c r="L1035" s="387" t="s">
        <v>672</v>
      </c>
    </row>
    <row r="1036" spans="1:12" ht="25.5" hidden="1">
      <c r="A1036" s="385" t="s">
        <v>354</v>
      </c>
      <c r="B1036" s="385" t="s">
        <v>611</v>
      </c>
      <c r="C1036" s="385" t="s">
        <v>552</v>
      </c>
      <c r="D1036" s="385" t="s">
        <v>380</v>
      </c>
      <c r="E1036" s="385" t="s">
        <v>19</v>
      </c>
      <c r="F1036" s="385" t="s">
        <v>671</v>
      </c>
      <c r="G1036" s="385" t="s">
        <v>19</v>
      </c>
      <c r="H1036" s="386">
        <v>0</v>
      </c>
      <c r="I1036" s="386">
        <v>3795.43</v>
      </c>
      <c r="J1036" s="386">
        <v>0</v>
      </c>
      <c r="K1036" s="386">
        <v>899.89</v>
      </c>
      <c r="L1036" s="387" t="s">
        <v>672</v>
      </c>
    </row>
    <row r="1037" spans="1:12" ht="25.5" hidden="1">
      <c r="A1037" s="385" t="s">
        <v>354</v>
      </c>
      <c r="B1037" s="385" t="s">
        <v>611</v>
      </c>
      <c r="C1037" s="385" t="s">
        <v>699</v>
      </c>
      <c r="D1037" s="385" t="s">
        <v>380</v>
      </c>
      <c r="E1037" s="385" t="s">
        <v>19</v>
      </c>
      <c r="F1037" s="385" t="s">
        <v>671</v>
      </c>
      <c r="G1037" s="385" t="s">
        <v>19</v>
      </c>
      <c r="H1037" s="386">
        <v>0</v>
      </c>
      <c r="I1037" s="386">
        <v>6441.84</v>
      </c>
      <c r="J1037" s="386">
        <v>0</v>
      </c>
      <c r="K1037" s="386">
        <v>1273.3399999999999</v>
      </c>
      <c r="L1037" s="387" t="s">
        <v>672</v>
      </c>
    </row>
    <row r="1038" spans="1:12" ht="25.5" hidden="1">
      <c r="A1038" s="385" t="s">
        <v>354</v>
      </c>
      <c r="B1038" s="385" t="s">
        <v>611</v>
      </c>
      <c r="C1038" s="385" t="s">
        <v>700</v>
      </c>
      <c r="D1038" s="385" t="s">
        <v>380</v>
      </c>
      <c r="E1038" s="385" t="s">
        <v>19</v>
      </c>
      <c r="F1038" s="385" t="s">
        <v>671</v>
      </c>
      <c r="G1038" s="385" t="s">
        <v>19</v>
      </c>
      <c r="H1038" s="386">
        <v>0</v>
      </c>
      <c r="I1038" s="386">
        <v>758.16</v>
      </c>
      <c r="J1038" s="386">
        <v>0</v>
      </c>
      <c r="K1038" s="386">
        <v>149.85</v>
      </c>
      <c r="L1038" s="387" t="s">
        <v>672</v>
      </c>
    </row>
    <row r="1039" spans="1:12" ht="25.5" hidden="1">
      <c r="A1039" s="385" t="s">
        <v>354</v>
      </c>
      <c r="B1039" s="385" t="s">
        <v>611</v>
      </c>
      <c r="C1039" s="385" t="s">
        <v>625</v>
      </c>
      <c r="D1039" s="385" t="s">
        <v>380</v>
      </c>
      <c r="E1039" s="385" t="s">
        <v>19</v>
      </c>
      <c r="F1039" s="385" t="s">
        <v>671</v>
      </c>
      <c r="G1039" s="385" t="s">
        <v>19</v>
      </c>
      <c r="H1039" s="386">
        <v>0</v>
      </c>
      <c r="I1039" s="386">
        <v>4885.0600000000004</v>
      </c>
      <c r="J1039" s="386">
        <v>0</v>
      </c>
      <c r="K1039" s="386">
        <v>335.42</v>
      </c>
      <c r="L1039" s="387" t="s">
        <v>672</v>
      </c>
    </row>
    <row r="1040" spans="1:12" ht="25.5" hidden="1">
      <c r="A1040" s="385" t="s">
        <v>354</v>
      </c>
      <c r="B1040" s="385" t="s">
        <v>611</v>
      </c>
      <c r="C1040" s="385" t="s">
        <v>626</v>
      </c>
      <c r="D1040" s="385" t="s">
        <v>380</v>
      </c>
      <c r="E1040" s="385" t="s">
        <v>19</v>
      </c>
      <c r="F1040" s="385" t="s">
        <v>671</v>
      </c>
      <c r="G1040" s="385" t="s">
        <v>19</v>
      </c>
      <c r="H1040" s="386">
        <v>0</v>
      </c>
      <c r="I1040" s="386">
        <v>574.94000000000005</v>
      </c>
      <c r="J1040" s="386">
        <v>0</v>
      </c>
      <c r="K1040" s="386">
        <v>39.479999999999997</v>
      </c>
      <c r="L1040" s="387" t="s">
        <v>672</v>
      </c>
    </row>
    <row r="1041" spans="1:12" ht="25.5" hidden="1">
      <c r="A1041" s="385" t="s">
        <v>354</v>
      </c>
      <c r="B1041" s="385" t="s">
        <v>611</v>
      </c>
      <c r="C1041" s="385" t="s">
        <v>774</v>
      </c>
      <c r="D1041" s="385" t="s">
        <v>380</v>
      </c>
      <c r="E1041" s="385" t="s">
        <v>19</v>
      </c>
      <c r="F1041" s="385" t="s">
        <v>671</v>
      </c>
      <c r="G1041" s="385" t="s">
        <v>19</v>
      </c>
      <c r="H1041" s="386">
        <v>0</v>
      </c>
      <c r="I1041" s="386">
        <v>9371.34</v>
      </c>
      <c r="J1041" s="386">
        <v>0</v>
      </c>
      <c r="K1041" s="386">
        <v>8637.84</v>
      </c>
      <c r="L1041" s="387" t="s">
        <v>672</v>
      </c>
    </row>
    <row r="1042" spans="1:12" ht="25.5" hidden="1">
      <c r="A1042" s="385" t="s">
        <v>354</v>
      </c>
      <c r="B1042" s="385" t="s">
        <v>611</v>
      </c>
      <c r="C1042" s="385" t="s">
        <v>775</v>
      </c>
      <c r="D1042" s="385" t="s">
        <v>380</v>
      </c>
      <c r="E1042" s="385" t="s">
        <v>19</v>
      </c>
      <c r="F1042" s="385" t="s">
        <v>671</v>
      </c>
      <c r="G1042" s="385" t="s">
        <v>19</v>
      </c>
      <c r="H1042" s="386">
        <v>0</v>
      </c>
      <c r="I1042" s="386">
        <v>1102.94</v>
      </c>
      <c r="J1042" s="386">
        <v>0</v>
      </c>
      <c r="K1042" s="386">
        <v>1016.61</v>
      </c>
      <c r="L1042" s="387" t="s">
        <v>672</v>
      </c>
    </row>
    <row r="1043" spans="1:12" ht="25.5" hidden="1">
      <c r="A1043" s="385" t="s">
        <v>354</v>
      </c>
      <c r="B1043" s="385" t="s">
        <v>611</v>
      </c>
      <c r="C1043" s="385" t="s">
        <v>541</v>
      </c>
      <c r="D1043" s="385" t="s">
        <v>380</v>
      </c>
      <c r="E1043" s="385" t="s">
        <v>19</v>
      </c>
      <c r="F1043" s="385" t="s">
        <v>671</v>
      </c>
      <c r="G1043" s="385" t="s">
        <v>19</v>
      </c>
      <c r="H1043" s="386">
        <v>0</v>
      </c>
      <c r="I1043" s="386">
        <v>196399.15</v>
      </c>
      <c r="J1043" s="386">
        <v>0</v>
      </c>
      <c r="K1043" s="386">
        <v>0</v>
      </c>
      <c r="L1043" s="387" t="s">
        <v>672</v>
      </c>
    </row>
    <row r="1044" spans="1:12" ht="25.5" hidden="1">
      <c r="A1044" s="385" t="s">
        <v>354</v>
      </c>
      <c r="B1044" s="385" t="s">
        <v>611</v>
      </c>
      <c r="C1044" s="385" t="s">
        <v>754</v>
      </c>
      <c r="D1044" s="385" t="s">
        <v>380</v>
      </c>
      <c r="E1044" s="385" t="s">
        <v>19</v>
      </c>
      <c r="F1044" s="385" t="s">
        <v>671</v>
      </c>
      <c r="G1044" s="385" t="s">
        <v>19</v>
      </c>
      <c r="H1044" s="386">
        <v>0</v>
      </c>
      <c r="I1044" s="386">
        <v>272883.5</v>
      </c>
      <c r="J1044" s="386">
        <v>0</v>
      </c>
      <c r="K1044" s="386">
        <v>31314.5</v>
      </c>
      <c r="L1044" s="387" t="s">
        <v>672</v>
      </c>
    </row>
    <row r="1045" spans="1:12" ht="25.5" hidden="1">
      <c r="A1045" s="385" t="s">
        <v>354</v>
      </c>
      <c r="B1045" s="385" t="s">
        <v>611</v>
      </c>
      <c r="C1045" s="385" t="s">
        <v>769</v>
      </c>
      <c r="D1045" s="385" t="s">
        <v>380</v>
      </c>
      <c r="E1045" s="385" t="s">
        <v>19</v>
      </c>
      <c r="F1045" s="385" t="s">
        <v>671</v>
      </c>
      <c r="G1045" s="385" t="s">
        <v>19</v>
      </c>
      <c r="H1045" s="386">
        <v>0</v>
      </c>
      <c r="I1045" s="386">
        <v>32116.5</v>
      </c>
      <c r="J1045" s="386">
        <v>0</v>
      </c>
      <c r="K1045" s="386">
        <v>3685.5</v>
      </c>
      <c r="L1045" s="387" t="s">
        <v>672</v>
      </c>
    </row>
    <row r="1046" spans="1:12" ht="25.5" hidden="1">
      <c r="A1046" s="385" t="s">
        <v>354</v>
      </c>
      <c r="B1046" s="385" t="s">
        <v>611</v>
      </c>
      <c r="C1046" s="385" t="s">
        <v>564</v>
      </c>
      <c r="D1046" s="385" t="s">
        <v>380</v>
      </c>
      <c r="E1046" s="385" t="s">
        <v>19</v>
      </c>
      <c r="F1046" s="385" t="s">
        <v>671</v>
      </c>
      <c r="G1046" s="385" t="s">
        <v>19</v>
      </c>
      <c r="H1046" s="386">
        <v>0</v>
      </c>
      <c r="I1046" s="386">
        <v>116311</v>
      </c>
      <c r="J1046" s="386">
        <v>0</v>
      </c>
      <c r="K1046" s="386">
        <v>112338.53</v>
      </c>
      <c r="L1046" s="387" t="s">
        <v>672</v>
      </c>
    </row>
    <row r="1047" spans="1:12" ht="25.5" hidden="1">
      <c r="A1047" s="385" t="s">
        <v>354</v>
      </c>
      <c r="B1047" s="385" t="s">
        <v>611</v>
      </c>
      <c r="C1047" s="385" t="s">
        <v>692</v>
      </c>
      <c r="D1047" s="385" t="s">
        <v>380</v>
      </c>
      <c r="E1047" s="385" t="s">
        <v>19</v>
      </c>
      <c r="F1047" s="385" t="s">
        <v>671</v>
      </c>
      <c r="G1047" s="385" t="s">
        <v>19</v>
      </c>
      <c r="H1047" s="386">
        <v>0</v>
      </c>
      <c r="I1047" s="386">
        <v>13689</v>
      </c>
      <c r="J1047" s="386">
        <v>0</v>
      </c>
      <c r="K1047" s="386">
        <v>13221.47</v>
      </c>
      <c r="L1047" s="387" t="s">
        <v>672</v>
      </c>
    </row>
    <row r="1048" spans="1:12" hidden="1">
      <c r="A1048" s="385" t="s">
        <v>357</v>
      </c>
      <c r="B1048" s="385" t="s">
        <v>499</v>
      </c>
      <c r="C1048" s="385" t="s">
        <v>500</v>
      </c>
      <c r="D1048" s="385" t="s">
        <v>380</v>
      </c>
      <c r="E1048" s="385" t="s">
        <v>19</v>
      </c>
      <c r="F1048" s="385" t="s">
        <v>673</v>
      </c>
      <c r="G1048" s="385" t="s">
        <v>434</v>
      </c>
      <c r="H1048" s="386">
        <v>0</v>
      </c>
      <c r="I1048" s="386">
        <v>0</v>
      </c>
      <c r="J1048" s="386">
        <v>0</v>
      </c>
      <c r="K1048" s="386">
        <v>0</v>
      </c>
      <c r="L1048" s="387" t="s">
        <v>674</v>
      </c>
    </row>
    <row r="1049" spans="1:12" hidden="1">
      <c r="A1049" s="385" t="s">
        <v>357</v>
      </c>
      <c r="B1049" s="385" t="s">
        <v>499</v>
      </c>
      <c r="C1049" s="385" t="s">
        <v>500</v>
      </c>
      <c r="D1049" s="385" t="s">
        <v>380</v>
      </c>
      <c r="E1049" s="385" t="s">
        <v>19</v>
      </c>
      <c r="F1049" s="385" t="s">
        <v>673</v>
      </c>
      <c r="G1049" s="385" t="s">
        <v>19</v>
      </c>
      <c r="H1049" s="386">
        <v>0</v>
      </c>
      <c r="I1049" s="386">
        <v>167</v>
      </c>
      <c r="J1049" s="386">
        <v>0</v>
      </c>
      <c r="K1049" s="386">
        <v>0</v>
      </c>
      <c r="L1049" s="387" t="s">
        <v>674</v>
      </c>
    </row>
    <row r="1050" spans="1:12" hidden="1">
      <c r="A1050" s="385" t="s">
        <v>357</v>
      </c>
      <c r="B1050" s="385" t="s">
        <v>499</v>
      </c>
      <c r="C1050" s="385" t="s">
        <v>612</v>
      </c>
      <c r="D1050" s="385" t="s">
        <v>380</v>
      </c>
      <c r="E1050" s="385" t="s">
        <v>19</v>
      </c>
      <c r="F1050" s="385" t="s">
        <v>386</v>
      </c>
      <c r="G1050" s="385" t="s">
        <v>434</v>
      </c>
      <c r="H1050" s="386">
        <v>0</v>
      </c>
      <c r="I1050" s="386">
        <v>3911</v>
      </c>
      <c r="J1050" s="386">
        <v>0</v>
      </c>
      <c r="K1050" s="386">
        <v>3910.67</v>
      </c>
      <c r="L1050" s="387" t="s">
        <v>387</v>
      </c>
    </row>
    <row r="1051" spans="1:12" hidden="1">
      <c r="A1051" s="385" t="s">
        <v>357</v>
      </c>
      <c r="B1051" s="385" t="s">
        <v>499</v>
      </c>
      <c r="C1051" s="385" t="s">
        <v>612</v>
      </c>
      <c r="D1051" s="385" t="s">
        <v>380</v>
      </c>
      <c r="E1051" s="385" t="s">
        <v>19</v>
      </c>
      <c r="F1051" s="385" t="s">
        <v>386</v>
      </c>
      <c r="G1051" s="385" t="s">
        <v>19</v>
      </c>
      <c r="H1051" s="386">
        <v>0</v>
      </c>
      <c r="I1051" s="386">
        <v>120798</v>
      </c>
      <c r="J1051" s="386">
        <v>0</v>
      </c>
      <c r="K1051" s="386">
        <v>78213.36</v>
      </c>
      <c r="L1051" s="387" t="s">
        <v>387</v>
      </c>
    </row>
    <row r="1052" spans="1:12" ht="25.5" hidden="1">
      <c r="A1052" s="385" t="s">
        <v>357</v>
      </c>
      <c r="B1052" s="385" t="s">
        <v>287</v>
      </c>
      <c r="C1052" s="385" t="s">
        <v>521</v>
      </c>
      <c r="D1052" s="385" t="s">
        <v>380</v>
      </c>
      <c r="E1052" s="385" t="s">
        <v>19</v>
      </c>
      <c r="F1052" s="385" t="s">
        <v>613</v>
      </c>
      <c r="G1052" s="385" t="s">
        <v>12</v>
      </c>
      <c r="H1052" s="386">
        <v>0</v>
      </c>
      <c r="I1052" s="386">
        <v>300</v>
      </c>
      <c r="J1052" s="386">
        <v>0</v>
      </c>
      <c r="K1052" s="386">
        <v>0</v>
      </c>
      <c r="L1052" s="387" t="s">
        <v>614</v>
      </c>
    </row>
    <row r="1053" spans="1:12" hidden="1">
      <c r="A1053" s="385" t="s">
        <v>357</v>
      </c>
      <c r="B1053" s="385" t="s">
        <v>287</v>
      </c>
      <c r="C1053" s="385" t="s">
        <v>523</v>
      </c>
      <c r="D1053" s="385" t="s">
        <v>380</v>
      </c>
      <c r="E1053" s="385" t="s">
        <v>19</v>
      </c>
      <c r="F1053" s="385" t="s">
        <v>386</v>
      </c>
      <c r="G1053" s="385" t="s">
        <v>19</v>
      </c>
      <c r="H1053" s="386">
        <v>0</v>
      </c>
      <c r="I1053" s="386">
        <v>42900</v>
      </c>
      <c r="J1053" s="386">
        <v>0</v>
      </c>
      <c r="K1053" s="386">
        <v>0</v>
      </c>
      <c r="L1053" s="387" t="s">
        <v>387</v>
      </c>
    </row>
    <row r="1054" spans="1:12" ht="25.5" hidden="1">
      <c r="A1054" s="385" t="s">
        <v>357</v>
      </c>
      <c r="B1054" s="385" t="s">
        <v>287</v>
      </c>
      <c r="C1054" s="385" t="s">
        <v>523</v>
      </c>
      <c r="D1054" s="385" t="s">
        <v>380</v>
      </c>
      <c r="E1054" s="385" t="s">
        <v>19</v>
      </c>
      <c r="F1054" s="385" t="s">
        <v>613</v>
      </c>
      <c r="G1054" s="385" t="s">
        <v>12</v>
      </c>
      <c r="H1054" s="386">
        <v>0</v>
      </c>
      <c r="I1054" s="386">
        <v>234320.5</v>
      </c>
      <c r="J1054" s="386">
        <v>0</v>
      </c>
      <c r="K1054" s="386">
        <v>169246.46</v>
      </c>
      <c r="L1054" s="387" t="s">
        <v>614</v>
      </c>
    </row>
    <row r="1055" spans="1:12" ht="25.5" hidden="1">
      <c r="A1055" s="385" t="s">
        <v>357</v>
      </c>
      <c r="B1055" s="385" t="s">
        <v>287</v>
      </c>
      <c r="C1055" s="385" t="s">
        <v>524</v>
      </c>
      <c r="D1055" s="385" t="s">
        <v>380</v>
      </c>
      <c r="E1055" s="385" t="s">
        <v>19</v>
      </c>
      <c r="F1055" s="385" t="s">
        <v>613</v>
      </c>
      <c r="G1055" s="385" t="s">
        <v>12</v>
      </c>
      <c r="H1055" s="386">
        <v>0</v>
      </c>
      <c r="I1055" s="386">
        <v>20417.7</v>
      </c>
      <c r="J1055" s="386">
        <v>0</v>
      </c>
      <c r="K1055" s="386">
        <v>20350.72</v>
      </c>
      <c r="L1055" s="387" t="s">
        <v>614</v>
      </c>
    </row>
    <row r="1056" spans="1:12" hidden="1">
      <c r="A1056" s="385" t="s">
        <v>357</v>
      </c>
      <c r="B1056" s="385" t="s">
        <v>287</v>
      </c>
      <c r="C1056" s="385" t="s">
        <v>525</v>
      </c>
      <c r="D1056" s="385" t="s">
        <v>380</v>
      </c>
      <c r="E1056" s="385" t="s">
        <v>19</v>
      </c>
      <c r="F1056" s="385" t="s">
        <v>386</v>
      </c>
      <c r="G1056" s="385" t="s">
        <v>19</v>
      </c>
      <c r="H1056" s="386">
        <v>0</v>
      </c>
      <c r="I1056" s="386">
        <v>4563</v>
      </c>
      <c r="J1056" s="386">
        <v>0</v>
      </c>
      <c r="K1056" s="386">
        <v>0</v>
      </c>
      <c r="L1056" s="387" t="s">
        <v>387</v>
      </c>
    </row>
    <row r="1057" spans="1:12" ht="25.5" hidden="1">
      <c r="A1057" s="385" t="s">
        <v>357</v>
      </c>
      <c r="B1057" s="385" t="s">
        <v>287</v>
      </c>
      <c r="C1057" s="385" t="s">
        <v>525</v>
      </c>
      <c r="D1057" s="385" t="s">
        <v>380</v>
      </c>
      <c r="E1057" s="385" t="s">
        <v>19</v>
      </c>
      <c r="F1057" s="385" t="s">
        <v>613</v>
      </c>
      <c r="G1057" s="385" t="s">
        <v>12</v>
      </c>
      <c r="H1057" s="386">
        <v>0</v>
      </c>
      <c r="I1057" s="386">
        <v>42552.46</v>
      </c>
      <c r="J1057" s="386">
        <v>0</v>
      </c>
      <c r="K1057" s="386">
        <v>29480.87</v>
      </c>
      <c r="L1057" s="387" t="s">
        <v>614</v>
      </c>
    </row>
    <row r="1058" spans="1:12" hidden="1">
      <c r="A1058" s="385" t="s">
        <v>357</v>
      </c>
      <c r="B1058" s="385" t="s">
        <v>287</v>
      </c>
      <c r="C1058" s="385" t="s">
        <v>526</v>
      </c>
      <c r="D1058" s="385" t="s">
        <v>380</v>
      </c>
      <c r="E1058" s="385" t="s">
        <v>19</v>
      </c>
      <c r="F1058" s="385" t="s">
        <v>386</v>
      </c>
      <c r="G1058" s="385" t="s">
        <v>19</v>
      </c>
      <c r="H1058" s="386">
        <v>0</v>
      </c>
      <c r="I1058" s="386">
        <v>793</v>
      </c>
      <c r="J1058" s="386">
        <v>0</v>
      </c>
      <c r="K1058" s="386">
        <v>0</v>
      </c>
      <c r="L1058" s="387" t="s">
        <v>387</v>
      </c>
    </row>
    <row r="1059" spans="1:12" ht="25.5" hidden="1">
      <c r="A1059" s="385" t="s">
        <v>357</v>
      </c>
      <c r="B1059" s="385" t="s">
        <v>287</v>
      </c>
      <c r="C1059" s="385" t="s">
        <v>526</v>
      </c>
      <c r="D1059" s="385" t="s">
        <v>380</v>
      </c>
      <c r="E1059" s="385" t="s">
        <v>19</v>
      </c>
      <c r="F1059" s="385" t="s">
        <v>613</v>
      </c>
      <c r="G1059" s="385" t="s">
        <v>12</v>
      </c>
      <c r="H1059" s="386">
        <v>0</v>
      </c>
      <c r="I1059" s="386">
        <v>6157.92</v>
      </c>
      <c r="J1059" s="386">
        <v>0</v>
      </c>
      <c r="K1059" s="386">
        <v>4267.55</v>
      </c>
      <c r="L1059" s="387" t="s">
        <v>614</v>
      </c>
    </row>
    <row r="1060" spans="1:12" hidden="1">
      <c r="A1060" s="385" t="s">
        <v>357</v>
      </c>
      <c r="B1060" s="385" t="s">
        <v>287</v>
      </c>
      <c r="C1060" s="385" t="s">
        <v>527</v>
      </c>
      <c r="D1060" s="385" t="s">
        <v>380</v>
      </c>
      <c r="E1060" s="385" t="s">
        <v>19</v>
      </c>
      <c r="F1060" s="385" t="s">
        <v>386</v>
      </c>
      <c r="G1060" s="385" t="s">
        <v>19</v>
      </c>
      <c r="H1060" s="386">
        <v>0</v>
      </c>
      <c r="I1060" s="386">
        <v>5500</v>
      </c>
      <c r="J1060" s="386">
        <v>0</v>
      </c>
      <c r="K1060" s="386">
        <v>0</v>
      </c>
      <c r="L1060" s="387" t="s">
        <v>387</v>
      </c>
    </row>
    <row r="1061" spans="1:12" ht="25.5" hidden="1">
      <c r="A1061" s="385" t="s">
        <v>357</v>
      </c>
      <c r="B1061" s="385" t="s">
        <v>287</v>
      </c>
      <c r="C1061" s="385" t="s">
        <v>527</v>
      </c>
      <c r="D1061" s="385" t="s">
        <v>380</v>
      </c>
      <c r="E1061" s="385" t="s">
        <v>19</v>
      </c>
      <c r="F1061" s="385" t="s">
        <v>613</v>
      </c>
      <c r="G1061" s="385" t="s">
        <v>12</v>
      </c>
      <c r="H1061" s="386">
        <v>0</v>
      </c>
      <c r="I1061" s="386">
        <v>73000</v>
      </c>
      <c r="J1061" s="386">
        <v>0</v>
      </c>
      <c r="K1061" s="386">
        <v>39633.620000000003</v>
      </c>
      <c r="L1061" s="387" t="s">
        <v>614</v>
      </c>
    </row>
    <row r="1062" spans="1:12" hidden="1">
      <c r="A1062" s="385" t="s">
        <v>357</v>
      </c>
      <c r="B1062" s="385" t="s">
        <v>287</v>
      </c>
      <c r="C1062" s="385" t="s">
        <v>528</v>
      </c>
      <c r="D1062" s="385" t="s">
        <v>380</v>
      </c>
      <c r="E1062" s="385" t="s">
        <v>19</v>
      </c>
      <c r="F1062" s="385" t="s">
        <v>386</v>
      </c>
      <c r="G1062" s="385" t="s">
        <v>19</v>
      </c>
      <c r="H1062" s="386">
        <v>0</v>
      </c>
      <c r="I1062" s="386">
        <v>4600</v>
      </c>
      <c r="J1062" s="386">
        <v>0</v>
      </c>
      <c r="K1062" s="386">
        <v>0</v>
      </c>
      <c r="L1062" s="387" t="s">
        <v>387</v>
      </c>
    </row>
    <row r="1063" spans="1:12" ht="25.5" hidden="1">
      <c r="A1063" s="385" t="s">
        <v>357</v>
      </c>
      <c r="B1063" s="385" t="s">
        <v>287</v>
      </c>
      <c r="C1063" s="385" t="s">
        <v>528</v>
      </c>
      <c r="D1063" s="385" t="s">
        <v>380</v>
      </c>
      <c r="E1063" s="385" t="s">
        <v>19</v>
      </c>
      <c r="F1063" s="385" t="s">
        <v>613</v>
      </c>
      <c r="G1063" s="385" t="s">
        <v>12</v>
      </c>
      <c r="H1063" s="386">
        <v>0</v>
      </c>
      <c r="I1063" s="386">
        <v>9081.2199999999993</v>
      </c>
      <c r="J1063" s="386">
        <v>0</v>
      </c>
      <c r="K1063" s="386">
        <v>753.4</v>
      </c>
      <c r="L1063" s="387" t="s">
        <v>614</v>
      </c>
    </row>
    <row r="1064" spans="1:12" hidden="1">
      <c r="A1064" s="385" t="s">
        <v>357</v>
      </c>
      <c r="B1064" s="385" t="s">
        <v>287</v>
      </c>
      <c r="C1064" s="385" t="s">
        <v>530</v>
      </c>
      <c r="D1064" s="385" t="s">
        <v>380</v>
      </c>
      <c r="E1064" s="385" t="s">
        <v>19</v>
      </c>
      <c r="F1064" s="385" t="s">
        <v>386</v>
      </c>
      <c r="G1064" s="385" t="s">
        <v>19</v>
      </c>
      <c r="H1064" s="386">
        <v>0</v>
      </c>
      <c r="I1064" s="386">
        <v>4000</v>
      </c>
      <c r="J1064" s="386">
        <v>0</v>
      </c>
      <c r="K1064" s="386">
        <v>0</v>
      </c>
      <c r="L1064" s="387" t="s">
        <v>387</v>
      </c>
    </row>
    <row r="1065" spans="1:12" ht="25.5" hidden="1">
      <c r="A1065" s="385" t="s">
        <v>357</v>
      </c>
      <c r="B1065" s="385" t="s">
        <v>287</v>
      </c>
      <c r="C1065" s="385" t="s">
        <v>530</v>
      </c>
      <c r="D1065" s="385" t="s">
        <v>380</v>
      </c>
      <c r="E1065" s="385" t="s">
        <v>19</v>
      </c>
      <c r="F1065" s="385" t="s">
        <v>613</v>
      </c>
      <c r="G1065" s="385" t="s">
        <v>12</v>
      </c>
      <c r="H1065" s="386">
        <v>0</v>
      </c>
      <c r="I1065" s="386">
        <v>10000</v>
      </c>
      <c r="J1065" s="386">
        <v>0</v>
      </c>
      <c r="K1065" s="386">
        <v>4263.53</v>
      </c>
      <c r="L1065" s="387" t="s">
        <v>614</v>
      </c>
    </row>
    <row r="1066" spans="1:12" hidden="1">
      <c r="A1066" s="385" t="s">
        <v>357</v>
      </c>
      <c r="B1066" s="385" t="s">
        <v>287</v>
      </c>
      <c r="C1066" s="385" t="s">
        <v>531</v>
      </c>
      <c r="D1066" s="385" t="s">
        <v>380</v>
      </c>
      <c r="E1066" s="385" t="s">
        <v>19</v>
      </c>
      <c r="F1066" s="385" t="s">
        <v>386</v>
      </c>
      <c r="G1066" s="385" t="s">
        <v>19</v>
      </c>
      <c r="H1066" s="386">
        <v>0</v>
      </c>
      <c r="I1066" s="386">
        <v>18800</v>
      </c>
      <c r="J1066" s="386">
        <v>0</v>
      </c>
      <c r="K1066" s="386">
        <v>0</v>
      </c>
      <c r="L1066" s="387" t="s">
        <v>387</v>
      </c>
    </row>
    <row r="1067" spans="1:12" ht="25.5" hidden="1">
      <c r="A1067" s="385" t="s">
        <v>357</v>
      </c>
      <c r="B1067" s="385" t="s">
        <v>287</v>
      </c>
      <c r="C1067" s="385" t="s">
        <v>531</v>
      </c>
      <c r="D1067" s="385" t="s">
        <v>380</v>
      </c>
      <c r="E1067" s="385" t="s">
        <v>19</v>
      </c>
      <c r="F1067" s="385" t="s">
        <v>613</v>
      </c>
      <c r="G1067" s="385" t="s">
        <v>12</v>
      </c>
      <c r="H1067" s="386">
        <v>0</v>
      </c>
      <c r="I1067" s="386">
        <v>169000</v>
      </c>
      <c r="J1067" s="386">
        <v>0</v>
      </c>
      <c r="K1067" s="386">
        <v>96985</v>
      </c>
      <c r="L1067" s="387" t="s">
        <v>614</v>
      </c>
    </row>
    <row r="1068" spans="1:12" hidden="1">
      <c r="A1068" s="385" t="s">
        <v>357</v>
      </c>
      <c r="B1068" s="385" t="s">
        <v>287</v>
      </c>
      <c r="C1068" s="385" t="s">
        <v>510</v>
      </c>
      <c r="D1068" s="385" t="s">
        <v>380</v>
      </c>
      <c r="E1068" s="385" t="s">
        <v>19</v>
      </c>
      <c r="F1068" s="385" t="s">
        <v>386</v>
      </c>
      <c r="G1068" s="385" t="s">
        <v>19</v>
      </c>
      <c r="H1068" s="386">
        <v>0</v>
      </c>
      <c r="I1068" s="386">
        <v>17000</v>
      </c>
      <c r="J1068" s="386">
        <v>0</v>
      </c>
      <c r="K1068" s="386">
        <v>0</v>
      </c>
      <c r="L1068" s="387" t="s">
        <v>387</v>
      </c>
    </row>
    <row r="1069" spans="1:12" ht="25.5" hidden="1">
      <c r="A1069" s="385" t="s">
        <v>357</v>
      </c>
      <c r="B1069" s="385" t="s">
        <v>287</v>
      </c>
      <c r="C1069" s="385" t="s">
        <v>510</v>
      </c>
      <c r="D1069" s="385" t="s">
        <v>380</v>
      </c>
      <c r="E1069" s="385" t="s">
        <v>19</v>
      </c>
      <c r="F1069" s="385" t="s">
        <v>613</v>
      </c>
      <c r="G1069" s="385" t="s">
        <v>12</v>
      </c>
      <c r="H1069" s="386">
        <v>0</v>
      </c>
      <c r="I1069" s="386">
        <v>42000</v>
      </c>
      <c r="J1069" s="386">
        <v>0</v>
      </c>
      <c r="K1069" s="386">
        <v>26461.86</v>
      </c>
      <c r="L1069" s="387" t="s">
        <v>614</v>
      </c>
    </row>
    <row r="1070" spans="1:12" hidden="1">
      <c r="A1070" s="385" t="s">
        <v>357</v>
      </c>
      <c r="B1070" s="385" t="s">
        <v>287</v>
      </c>
      <c r="C1070" s="385" t="s">
        <v>590</v>
      </c>
      <c r="D1070" s="385" t="s">
        <v>380</v>
      </c>
      <c r="E1070" s="385" t="s">
        <v>19</v>
      </c>
      <c r="F1070" s="385" t="s">
        <v>482</v>
      </c>
      <c r="G1070" s="385" t="s">
        <v>19</v>
      </c>
      <c r="H1070" s="386">
        <v>0</v>
      </c>
      <c r="I1070" s="386">
        <v>31.45</v>
      </c>
      <c r="J1070" s="386">
        <v>0</v>
      </c>
      <c r="K1070" s="386">
        <v>31.45</v>
      </c>
      <c r="L1070" s="387" t="s">
        <v>483</v>
      </c>
    </row>
    <row r="1071" spans="1:12" hidden="1">
      <c r="A1071" s="385" t="s">
        <v>357</v>
      </c>
      <c r="B1071" s="385" t="s">
        <v>287</v>
      </c>
      <c r="C1071" s="385" t="s">
        <v>532</v>
      </c>
      <c r="D1071" s="385" t="s">
        <v>380</v>
      </c>
      <c r="E1071" s="385" t="s">
        <v>19</v>
      </c>
      <c r="F1071" s="385" t="s">
        <v>386</v>
      </c>
      <c r="G1071" s="385" t="s">
        <v>19</v>
      </c>
      <c r="H1071" s="386">
        <v>0</v>
      </c>
      <c r="I1071" s="386">
        <v>1200</v>
      </c>
      <c r="J1071" s="386">
        <v>0</v>
      </c>
      <c r="K1071" s="386">
        <v>0</v>
      </c>
      <c r="L1071" s="387" t="s">
        <v>387</v>
      </c>
    </row>
    <row r="1072" spans="1:12" ht="25.5" hidden="1">
      <c r="A1072" s="385" t="s">
        <v>357</v>
      </c>
      <c r="B1072" s="385" t="s">
        <v>287</v>
      </c>
      <c r="C1072" s="385" t="s">
        <v>532</v>
      </c>
      <c r="D1072" s="385" t="s">
        <v>380</v>
      </c>
      <c r="E1072" s="385" t="s">
        <v>19</v>
      </c>
      <c r="F1072" s="385" t="s">
        <v>613</v>
      </c>
      <c r="G1072" s="385" t="s">
        <v>12</v>
      </c>
      <c r="H1072" s="386">
        <v>0</v>
      </c>
      <c r="I1072" s="386">
        <v>3000</v>
      </c>
      <c r="J1072" s="386">
        <v>0</v>
      </c>
      <c r="K1072" s="386">
        <v>1815.3</v>
      </c>
      <c r="L1072" s="387" t="s">
        <v>614</v>
      </c>
    </row>
    <row r="1073" spans="1:12" hidden="1">
      <c r="A1073" s="385" t="s">
        <v>357</v>
      </c>
      <c r="B1073" s="385" t="s">
        <v>287</v>
      </c>
      <c r="C1073" s="385" t="s">
        <v>591</v>
      </c>
      <c r="D1073" s="385" t="s">
        <v>380</v>
      </c>
      <c r="E1073" s="385" t="s">
        <v>19</v>
      </c>
      <c r="F1073" s="385" t="s">
        <v>482</v>
      </c>
      <c r="G1073" s="385" t="s">
        <v>19</v>
      </c>
      <c r="H1073" s="386">
        <v>0</v>
      </c>
      <c r="I1073" s="386">
        <v>901.97</v>
      </c>
      <c r="J1073" s="386">
        <v>0</v>
      </c>
      <c r="K1073" s="386">
        <v>901.97</v>
      </c>
      <c r="L1073" s="387" t="s">
        <v>483</v>
      </c>
    </row>
    <row r="1074" spans="1:12" ht="25.5" hidden="1">
      <c r="A1074" s="385" t="s">
        <v>357</v>
      </c>
      <c r="B1074" s="385" t="s">
        <v>287</v>
      </c>
      <c r="C1074" s="385" t="s">
        <v>535</v>
      </c>
      <c r="D1074" s="385" t="s">
        <v>380</v>
      </c>
      <c r="E1074" s="385" t="s">
        <v>19</v>
      </c>
      <c r="F1074" s="385" t="s">
        <v>613</v>
      </c>
      <c r="G1074" s="385" t="s">
        <v>12</v>
      </c>
      <c r="H1074" s="386">
        <v>0</v>
      </c>
      <c r="I1074" s="386">
        <v>8170.2</v>
      </c>
      <c r="J1074" s="386">
        <v>0</v>
      </c>
      <c r="K1074" s="386">
        <v>5902.14</v>
      </c>
      <c r="L1074" s="387" t="s">
        <v>614</v>
      </c>
    </row>
    <row r="1075" spans="1:12" hidden="1">
      <c r="A1075" s="385" t="s">
        <v>357</v>
      </c>
      <c r="B1075" s="385" t="s">
        <v>287</v>
      </c>
      <c r="C1075" s="385" t="s">
        <v>592</v>
      </c>
      <c r="D1075" s="385" t="s">
        <v>380</v>
      </c>
      <c r="E1075" s="385" t="s">
        <v>19</v>
      </c>
      <c r="F1075" s="385" t="s">
        <v>482</v>
      </c>
      <c r="G1075" s="385" t="s">
        <v>19</v>
      </c>
      <c r="H1075" s="386">
        <v>0</v>
      </c>
      <c r="I1075" s="386">
        <v>1873.27</v>
      </c>
      <c r="J1075" s="386">
        <v>0</v>
      </c>
      <c r="K1075" s="386">
        <v>1873.27</v>
      </c>
      <c r="L1075" s="387" t="s">
        <v>483</v>
      </c>
    </row>
    <row r="1076" spans="1:12" hidden="1">
      <c r="A1076" s="385" t="s">
        <v>357</v>
      </c>
      <c r="B1076" s="385" t="s">
        <v>287</v>
      </c>
      <c r="C1076" s="385" t="s">
        <v>615</v>
      </c>
      <c r="D1076" s="385" t="s">
        <v>380</v>
      </c>
      <c r="E1076" s="385" t="s">
        <v>19</v>
      </c>
      <c r="F1076" s="385" t="s">
        <v>482</v>
      </c>
      <c r="G1076" s="385" t="s">
        <v>19</v>
      </c>
      <c r="H1076" s="386">
        <v>0</v>
      </c>
      <c r="I1076" s="386">
        <v>360</v>
      </c>
      <c r="J1076" s="386">
        <v>0</v>
      </c>
      <c r="K1076" s="386">
        <v>360</v>
      </c>
      <c r="L1076" s="387" t="s">
        <v>483</v>
      </c>
    </row>
    <row r="1077" spans="1:12" hidden="1">
      <c r="A1077" s="385" t="s">
        <v>357</v>
      </c>
      <c r="B1077" s="385" t="s">
        <v>287</v>
      </c>
      <c r="C1077" s="385" t="s">
        <v>596</v>
      </c>
      <c r="D1077" s="385" t="s">
        <v>380</v>
      </c>
      <c r="E1077" s="385" t="s">
        <v>19</v>
      </c>
      <c r="F1077" s="385" t="s">
        <v>482</v>
      </c>
      <c r="G1077" s="385" t="s">
        <v>19</v>
      </c>
      <c r="H1077" s="386">
        <v>0</v>
      </c>
      <c r="I1077" s="386">
        <v>231.9</v>
      </c>
      <c r="J1077" s="386">
        <v>0</v>
      </c>
      <c r="K1077" s="386">
        <v>231.9</v>
      </c>
      <c r="L1077" s="387" t="s">
        <v>483</v>
      </c>
    </row>
    <row r="1078" spans="1:12" hidden="1">
      <c r="A1078" s="385" t="s">
        <v>357</v>
      </c>
      <c r="B1078" s="385" t="s">
        <v>287</v>
      </c>
      <c r="C1078" s="385" t="s">
        <v>597</v>
      </c>
      <c r="D1078" s="385" t="s">
        <v>380</v>
      </c>
      <c r="E1078" s="385" t="s">
        <v>19</v>
      </c>
      <c r="F1078" s="385" t="s">
        <v>482</v>
      </c>
      <c r="G1078" s="385" t="s">
        <v>19</v>
      </c>
      <c r="H1078" s="386">
        <v>0</v>
      </c>
      <c r="I1078" s="386">
        <v>225.51</v>
      </c>
      <c r="J1078" s="386">
        <v>0</v>
      </c>
      <c r="K1078" s="386">
        <v>225.51</v>
      </c>
      <c r="L1078" s="387" t="s">
        <v>483</v>
      </c>
    </row>
    <row r="1079" spans="1:12" hidden="1">
      <c r="A1079" s="385" t="s">
        <v>357</v>
      </c>
      <c r="B1079" s="385" t="s">
        <v>503</v>
      </c>
      <c r="C1079" s="385" t="s">
        <v>523</v>
      </c>
      <c r="D1079" s="385" t="s">
        <v>380</v>
      </c>
      <c r="E1079" s="385" t="s">
        <v>19</v>
      </c>
      <c r="F1079" s="385" t="s">
        <v>467</v>
      </c>
      <c r="G1079" s="385" t="s">
        <v>19</v>
      </c>
      <c r="H1079" s="386">
        <v>0</v>
      </c>
      <c r="I1079" s="386">
        <v>38940</v>
      </c>
      <c r="J1079" s="386">
        <v>0</v>
      </c>
      <c r="K1079" s="386">
        <v>22940.22</v>
      </c>
      <c r="L1079" s="387" t="s">
        <v>353</v>
      </c>
    </row>
    <row r="1080" spans="1:12" hidden="1">
      <c r="A1080" s="385" t="s">
        <v>357</v>
      </c>
      <c r="B1080" s="385" t="s">
        <v>503</v>
      </c>
      <c r="C1080" s="385" t="s">
        <v>524</v>
      </c>
      <c r="D1080" s="385" t="s">
        <v>380</v>
      </c>
      <c r="E1080" s="385" t="s">
        <v>19</v>
      </c>
      <c r="F1080" s="385" t="s">
        <v>467</v>
      </c>
      <c r="G1080" s="385" t="s">
        <v>19</v>
      </c>
      <c r="H1080" s="386">
        <v>0</v>
      </c>
      <c r="I1080" s="386">
        <v>2000</v>
      </c>
      <c r="J1080" s="386">
        <v>0</v>
      </c>
      <c r="K1080" s="386">
        <v>2000</v>
      </c>
      <c r="L1080" s="387" t="s">
        <v>353</v>
      </c>
    </row>
    <row r="1081" spans="1:12" hidden="1">
      <c r="A1081" s="385" t="s">
        <v>357</v>
      </c>
      <c r="B1081" s="385" t="s">
        <v>503</v>
      </c>
      <c r="C1081" s="385" t="s">
        <v>525</v>
      </c>
      <c r="D1081" s="385" t="s">
        <v>380</v>
      </c>
      <c r="E1081" s="385" t="s">
        <v>19</v>
      </c>
      <c r="F1081" s="385" t="s">
        <v>467</v>
      </c>
      <c r="G1081" s="385" t="s">
        <v>19</v>
      </c>
      <c r="H1081" s="386">
        <v>0</v>
      </c>
      <c r="I1081" s="386">
        <v>9891</v>
      </c>
      <c r="J1081" s="386">
        <v>0</v>
      </c>
      <c r="K1081" s="386">
        <v>4294.6000000000004</v>
      </c>
      <c r="L1081" s="387" t="s">
        <v>353</v>
      </c>
    </row>
    <row r="1082" spans="1:12" hidden="1">
      <c r="A1082" s="385" t="s">
        <v>357</v>
      </c>
      <c r="B1082" s="385" t="s">
        <v>503</v>
      </c>
      <c r="C1082" s="385" t="s">
        <v>526</v>
      </c>
      <c r="D1082" s="385" t="s">
        <v>380</v>
      </c>
      <c r="E1082" s="385" t="s">
        <v>19</v>
      </c>
      <c r="F1082" s="385" t="s">
        <v>467</v>
      </c>
      <c r="G1082" s="385" t="s">
        <v>19</v>
      </c>
      <c r="H1082" s="386">
        <v>0</v>
      </c>
      <c r="I1082" s="386">
        <v>1003</v>
      </c>
      <c r="J1082" s="386">
        <v>0</v>
      </c>
      <c r="K1082" s="386">
        <v>611.04</v>
      </c>
      <c r="L1082" s="387" t="s">
        <v>353</v>
      </c>
    </row>
    <row r="1083" spans="1:12" hidden="1">
      <c r="A1083" s="385" t="s">
        <v>357</v>
      </c>
      <c r="B1083" s="385" t="s">
        <v>503</v>
      </c>
      <c r="C1083" s="385" t="s">
        <v>527</v>
      </c>
      <c r="D1083" s="385" t="s">
        <v>380</v>
      </c>
      <c r="E1083" s="385" t="s">
        <v>19</v>
      </c>
      <c r="F1083" s="385" t="s">
        <v>467</v>
      </c>
      <c r="G1083" s="385" t="s">
        <v>19</v>
      </c>
      <c r="H1083" s="386">
        <v>0</v>
      </c>
      <c r="I1083" s="386">
        <v>16500</v>
      </c>
      <c r="J1083" s="386">
        <v>0</v>
      </c>
      <c r="K1083" s="386">
        <v>0</v>
      </c>
      <c r="L1083" s="387" t="s">
        <v>353</v>
      </c>
    </row>
    <row r="1084" spans="1:12" hidden="1">
      <c r="A1084" s="385" t="s">
        <v>357</v>
      </c>
      <c r="B1084" s="385" t="s">
        <v>503</v>
      </c>
      <c r="C1084" s="385" t="s">
        <v>528</v>
      </c>
      <c r="D1084" s="385" t="s">
        <v>380</v>
      </c>
      <c r="E1084" s="385" t="s">
        <v>19</v>
      </c>
      <c r="F1084" s="385" t="s">
        <v>467</v>
      </c>
      <c r="G1084" s="385" t="s">
        <v>19</v>
      </c>
      <c r="H1084" s="386">
        <v>0</v>
      </c>
      <c r="I1084" s="386">
        <v>5918</v>
      </c>
      <c r="J1084" s="386">
        <v>0</v>
      </c>
      <c r="K1084" s="386">
        <v>5400</v>
      </c>
      <c r="L1084" s="387" t="s">
        <v>353</v>
      </c>
    </row>
    <row r="1085" spans="1:12" hidden="1">
      <c r="A1085" s="385" t="s">
        <v>357</v>
      </c>
      <c r="B1085" s="385" t="s">
        <v>503</v>
      </c>
      <c r="C1085" s="385" t="s">
        <v>510</v>
      </c>
      <c r="D1085" s="385" t="s">
        <v>380</v>
      </c>
      <c r="E1085" s="385" t="s">
        <v>19</v>
      </c>
      <c r="F1085" s="385" t="s">
        <v>467</v>
      </c>
      <c r="G1085" s="385" t="s">
        <v>19</v>
      </c>
      <c r="H1085" s="386">
        <v>0</v>
      </c>
      <c r="I1085" s="386">
        <v>7231</v>
      </c>
      <c r="J1085" s="386">
        <v>0</v>
      </c>
      <c r="K1085" s="386">
        <v>5000</v>
      </c>
      <c r="L1085" s="387" t="s">
        <v>353</v>
      </c>
    </row>
    <row r="1086" spans="1:12" ht="25.5" hidden="1">
      <c r="A1086" s="385" t="s">
        <v>357</v>
      </c>
      <c r="B1086" s="385" t="s">
        <v>504</v>
      </c>
      <c r="C1086" s="385" t="s">
        <v>521</v>
      </c>
      <c r="D1086" s="385" t="s">
        <v>380</v>
      </c>
      <c r="E1086" s="385" t="s">
        <v>19</v>
      </c>
      <c r="F1086" s="385" t="s">
        <v>465</v>
      </c>
      <c r="G1086" s="385" t="s">
        <v>19</v>
      </c>
      <c r="H1086" s="386">
        <v>0</v>
      </c>
      <c r="I1086" s="386">
        <v>3000</v>
      </c>
      <c r="J1086" s="386">
        <v>0</v>
      </c>
      <c r="K1086" s="386">
        <v>1000</v>
      </c>
      <c r="L1086" s="387" t="s">
        <v>466</v>
      </c>
    </row>
    <row r="1087" spans="1:12" ht="25.5" hidden="1">
      <c r="A1087" s="385" t="s">
        <v>357</v>
      </c>
      <c r="B1087" s="385" t="s">
        <v>504</v>
      </c>
      <c r="C1087" s="385" t="s">
        <v>523</v>
      </c>
      <c r="D1087" s="385" t="s">
        <v>380</v>
      </c>
      <c r="E1087" s="385" t="s">
        <v>19</v>
      </c>
      <c r="F1087" s="385" t="s">
        <v>465</v>
      </c>
      <c r="G1087" s="385" t="s">
        <v>19</v>
      </c>
      <c r="H1087" s="386">
        <v>0</v>
      </c>
      <c r="I1087" s="386">
        <v>2944993</v>
      </c>
      <c r="J1087" s="386">
        <v>0</v>
      </c>
      <c r="K1087" s="386">
        <v>1983486.67</v>
      </c>
      <c r="L1087" s="387" t="s">
        <v>466</v>
      </c>
    </row>
    <row r="1088" spans="1:12" ht="25.5" hidden="1">
      <c r="A1088" s="385" t="s">
        <v>357</v>
      </c>
      <c r="B1088" s="385" t="s">
        <v>504</v>
      </c>
      <c r="C1088" s="385" t="s">
        <v>524</v>
      </c>
      <c r="D1088" s="385" t="s">
        <v>380</v>
      </c>
      <c r="E1088" s="385" t="s">
        <v>19</v>
      </c>
      <c r="F1088" s="385" t="s">
        <v>465</v>
      </c>
      <c r="G1088" s="385" t="s">
        <v>19</v>
      </c>
      <c r="H1088" s="386">
        <v>0</v>
      </c>
      <c r="I1088" s="386">
        <v>257170</v>
      </c>
      <c r="J1088" s="386">
        <v>0</v>
      </c>
      <c r="K1088" s="386">
        <v>246654</v>
      </c>
      <c r="L1088" s="387" t="s">
        <v>466</v>
      </c>
    </row>
    <row r="1089" spans="1:12" ht="25.5" hidden="1">
      <c r="A1089" s="385" t="s">
        <v>357</v>
      </c>
      <c r="B1089" s="385" t="s">
        <v>504</v>
      </c>
      <c r="C1089" s="385" t="s">
        <v>525</v>
      </c>
      <c r="D1089" s="385" t="s">
        <v>380</v>
      </c>
      <c r="E1089" s="385" t="s">
        <v>19</v>
      </c>
      <c r="F1089" s="385" t="s">
        <v>465</v>
      </c>
      <c r="G1089" s="385" t="s">
        <v>19</v>
      </c>
      <c r="H1089" s="386">
        <v>0</v>
      </c>
      <c r="I1089" s="386">
        <v>559701.01</v>
      </c>
      <c r="J1089" s="386">
        <v>0</v>
      </c>
      <c r="K1089" s="386">
        <v>352225.12</v>
      </c>
      <c r="L1089" s="387" t="s">
        <v>466</v>
      </c>
    </row>
    <row r="1090" spans="1:12" ht="25.5" hidden="1">
      <c r="A1090" s="385" t="s">
        <v>357</v>
      </c>
      <c r="B1090" s="385" t="s">
        <v>504</v>
      </c>
      <c r="C1090" s="385" t="s">
        <v>526</v>
      </c>
      <c r="D1090" s="385" t="s">
        <v>380</v>
      </c>
      <c r="E1090" s="385" t="s">
        <v>19</v>
      </c>
      <c r="F1090" s="385" t="s">
        <v>465</v>
      </c>
      <c r="G1090" s="385" t="s">
        <v>19</v>
      </c>
      <c r="H1090" s="386">
        <v>0</v>
      </c>
      <c r="I1090" s="386">
        <v>69400</v>
      </c>
      <c r="J1090" s="386">
        <v>0</v>
      </c>
      <c r="K1090" s="386">
        <v>34785.050000000003</v>
      </c>
      <c r="L1090" s="387" t="s">
        <v>466</v>
      </c>
    </row>
    <row r="1091" spans="1:12" ht="25.5" hidden="1">
      <c r="A1091" s="385" t="s">
        <v>357</v>
      </c>
      <c r="B1091" s="385" t="s">
        <v>504</v>
      </c>
      <c r="C1091" s="385" t="s">
        <v>528</v>
      </c>
      <c r="D1091" s="385" t="s">
        <v>380</v>
      </c>
      <c r="E1091" s="385" t="s">
        <v>19</v>
      </c>
      <c r="F1091" s="385" t="s">
        <v>465</v>
      </c>
      <c r="G1091" s="385" t="s">
        <v>19</v>
      </c>
      <c r="H1091" s="386">
        <v>0</v>
      </c>
      <c r="I1091" s="386">
        <v>17432.93</v>
      </c>
      <c r="J1091" s="386">
        <v>0</v>
      </c>
      <c r="K1091" s="386">
        <v>10628.48</v>
      </c>
      <c r="L1091" s="387" t="s">
        <v>466</v>
      </c>
    </row>
    <row r="1092" spans="1:12" ht="25.5" hidden="1">
      <c r="A1092" s="385" t="s">
        <v>357</v>
      </c>
      <c r="B1092" s="385" t="s">
        <v>504</v>
      </c>
      <c r="C1092" s="385" t="s">
        <v>530</v>
      </c>
      <c r="D1092" s="385" t="s">
        <v>380</v>
      </c>
      <c r="E1092" s="385" t="s">
        <v>19</v>
      </c>
      <c r="F1092" s="385" t="s">
        <v>465</v>
      </c>
      <c r="G1092" s="385" t="s">
        <v>19</v>
      </c>
      <c r="H1092" s="386">
        <v>0</v>
      </c>
      <c r="I1092" s="386">
        <v>137600</v>
      </c>
      <c r="J1092" s="386">
        <v>0</v>
      </c>
      <c r="K1092" s="386">
        <v>46793.22</v>
      </c>
      <c r="L1092" s="387" t="s">
        <v>466</v>
      </c>
    </row>
    <row r="1093" spans="1:12" ht="25.5" hidden="1">
      <c r="A1093" s="385" t="s">
        <v>357</v>
      </c>
      <c r="B1093" s="385" t="s">
        <v>504</v>
      </c>
      <c r="C1093" s="385" t="s">
        <v>416</v>
      </c>
      <c r="D1093" s="385" t="s">
        <v>380</v>
      </c>
      <c r="E1093" s="385" t="s">
        <v>19</v>
      </c>
      <c r="F1093" s="385" t="s">
        <v>465</v>
      </c>
      <c r="G1093" s="385" t="s">
        <v>19</v>
      </c>
      <c r="H1093" s="386">
        <v>0</v>
      </c>
      <c r="I1093" s="386">
        <v>3300</v>
      </c>
      <c r="J1093" s="386">
        <v>0</v>
      </c>
      <c r="K1093" s="386">
        <v>738</v>
      </c>
      <c r="L1093" s="387" t="s">
        <v>466</v>
      </c>
    </row>
    <row r="1094" spans="1:12" ht="25.5" hidden="1">
      <c r="A1094" s="385" t="s">
        <v>357</v>
      </c>
      <c r="B1094" s="385" t="s">
        <v>504</v>
      </c>
      <c r="C1094" s="385" t="s">
        <v>531</v>
      </c>
      <c r="D1094" s="385" t="s">
        <v>380</v>
      </c>
      <c r="E1094" s="385" t="s">
        <v>19</v>
      </c>
      <c r="F1094" s="385" t="s">
        <v>465</v>
      </c>
      <c r="G1094" s="385" t="s">
        <v>19</v>
      </c>
      <c r="H1094" s="386">
        <v>0</v>
      </c>
      <c r="I1094" s="386">
        <v>4900</v>
      </c>
      <c r="J1094" s="386">
        <v>0</v>
      </c>
      <c r="K1094" s="386">
        <v>1320</v>
      </c>
      <c r="L1094" s="387" t="s">
        <v>466</v>
      </c>
    </row>
    <row r="1095" spans="1:12" ht="25.5" hidden="1">
      <c r="A1095" s="385" t="s">
        <v>357</v>
      </c>
      <c r="B1095" s="385" t="s">
        <v>504</v>
      </c>
      <c r="C1095" s="385" t="s">
        <v>510</v>
      </c>
      <c r="D1095" s="385" t="s">
        <v>380</v>
      </c>
      <c r="E1095" s="385" t="s">
        <v>19</v>
      </c>
      <c r="F1095" s="385" t="s">
        <v>465</v>
      </c>
      <c r="G1095" s="385" t="s">
        <v>19</v>
      </c>
      <c r="H1095" s="386">
        <v>0</v>
      </c>
      <c r="I1095" s="386">
        <v>19350</v>
      </c>
      <c r="J1095" s="386">
        <v>0</v>
      </c>
      <c r="K1095" s="386">
        <v>9494.5499999999993</v>
      </c>
      <c r="L1095" s="387" t="s">
        <v>466</v>
      </c>
    </row>
    <row r="1096" spans="1:12" ht="25.5" hidden="1">
      <c r="A1096" s="385" t="s">
        <v>357</v>
      </c>
      <c r="B1096" s="385" t="s">
        <v>504</v>
      </c>
      <c r="C1096" s="385" t="s">
        <v>532</v>
      </c>
      <c r="D1096" s="385" t="s">
        <v>380</v>
      </c>
      <c r="E1096" s="385" t="s">
        <v>19</v>
      </c>
      <c r="F1096" s="385" t="s">
        <v>465</v>
      </c>
      <c r="G1096" s="385" t="s">
        <v>19</v>
      </c>
      <c r="H1096" s="386">
        <v>0</v>
      </c>
      <c r="I1096" s="386">
        <v>6580</v>
      </c>
      <c r="J1096" s="386">
        <v>0</v>
      </c>
      <c r="K1096" s="386">
        <v>4668.18</v>
      </c>
      <c r="L1096" s="387" t="s">
        <v>466</v>
      </c>
    </row>
    <row r="1097" spans="1:12" ht="25.5" hidden="1">
      <c r="A1097" s="385" t="s">
        <v>357</v>
      </c>
      <c r="B1097" s="385" t="s">
        <v>504</v>
      </c>
      <c r="C1097" s="385" t="s">
        <v>533</v>
      </c>
      <c r="D1097" s="385" t="s">
        <v>380</v>
      </c>
      <c r="E1097" s="385" t="s">
        <v>19</v>
      </c>
      <c r="F1097" s="385" t="s">
        <v>465</v>
      </c>
      <c r="G1097" s="385" t="s">
        <v>19</v>
      </c>
      <c r="H1097" s="386">
        <v>0</v>
      </c>
      <c r="I1097" s="386">
        <v>6140</v>
      </c>
      <c r="J1097" s="386">
        <v>0</v>
      </c>
      <c r="K1097" s="386">
        <v>3209.04</v>
      </c>
      <c r="L1097" s="387" t="s">
        <v>466</v>
      </c>
    </row>
    <row r="1098" spans="1:12" ht="25.5" hidden="1">
      <c r="A1098" s="385" t="s">
        <v>357</v>
      </c>
      <c r="B1098" s="385" t="s">
        <v>504</v>
      </c>
      <c r="C1098" s="385" t="s">
        <v>535</v>
      </c>
      <c r="D1098" s="385" t="s">
        <v>380</v>
      </c>
      <c r="E1098" s="385" t="s">
        <v>19</v>
      </c>
      <c r="F1098" s="385" t="s">
        <v>465</v>
      </c>
      <c r="G1098" s="385" t="s">
        <v>19</v>
      </c>
      <c r="H1098" s="386">
        <v>0</v>
      </c>
      <c r="I1098" s="386">
        <v>125512.43</v>
      </c>
      <c r="J1098" s="386">
        <v>0</v>
      </c>
      <c r="K1098" s="386">
        <v>94134.32</v>
      </c>
      <c r="L1098" s="387" t="s">
        <v>466</v>
      </c>
    </row>
    <row r="1099" spans="1:12" ht="25.5" hidden="1">
      <c r="A1099" s="385" t="s">
        <v>357</v>
      </c>
      <c r="B1099" s="385" t="s">
        <v>504</v>
      </c>
      <c r="C1099" s="385" t="s">
        <v>546</v>
      </c>
      <c r="D1099" s="385" t="s">
        <v>380</v>
      </c>
      <c r="E1099" s="385" t="s">
        <v>19</v>
      </c>
      <c r="F1099" s="385" t="s">
        <v>465</v>
      </c>
      <c r="G1099" s="385" t="s">
        <v>19</v>
      </c>
      <c r="H1099" s="386">
        <v>0</v>
      </c>
      <c r="I1099" s="386">
        <v>6014</v>
      </c>
      <c r="J1099" s="386">
        <v>0</v>
      </c>
      <c r="K1099" s="386">
        <v>4010</v>
      </c>
      <c r="L1099" s="387" t="s">
        <v>466</v>
      </c>
    </row>
    <row r="1100" spans="1:12" ht="25.5" hidden="1">
      <c r="A1100" s="385" t="s">
        <v>357</v>
      </c>
      <c r="B1100" s="385" t="s">
        <v>504</v>
      </c>
      <c r="C1100" s="385" t="s">
        <v>547</v>
      </c>
      <c r="D1100" s="385" t="s">
        <v>380</v>
      </c>
      <c r="E1100" s="385" t="s">
        <v>19</v>
      </c>
      <c r="F1100" s="385" t="s">
        <v>465</v>
      </c>
      <c r="G1100" s="385" t="s">
        <v>19</v>
      </c>
      <c r="H1100" s="386">
        <v>0</v>
      </c>
      <c r="I1100" s="386">
        <v>2455</v>
      </c>
      <c r="J1100" s="386">
        <v>0</v>
      </c>
      <c r="K1100" s="386">
        <v>888.87</v>
      </c>
      <c r="L1100" s="387" t="s">
        <v>466</v>
      </c>
    </row>
    <row r="1101" spans="1:12" ht="25.5" hidden="1">
      <c r="A1101" s="385" t="s">
        <v>357</v>
      </c>
      <c r="B1101" s="385" t="s">
        <v>504</v>
      </c>
      <c r="C1101" s="385" t="s">
        <v>540</v>
      </c>
      <c r="D1101" s="385" t="s">
        <v>380</v>
      </c>
      <c r="E1101" s="385" t="s">
        <v>19</v>
      </c>
      <c r="F1101" s="385" t="s">
        <v>465</v>
      </c>
      <c r="G1101" s="385" t="s">
        <v>19</v>
      </c>
      <c r="H1101" s="386">
        <v>0</v>
      </c>
      <c r="I1101" s="386">
        <v>5700</v>
      </c>
      <c r="J1101" s="386">
        <v>0</v>
      </c>
      <c r="K1101" s="386">
        <v>1782.05</v>
      </c>
      <c r="L1101" s="387" t="s">
        <v>466</v>
      </c>
    </row>
    <row r="1102" spans="1:12" ht="25.5" hidden="1">
      <c r="A1102" s="385" t="s">
        <v>357</v>
      </c>
      <c r="B1102" s="385" t="s">
        <v>504</v>
      </c>
      <c r="C1102" s="385" t="s">
        <v>548</v>
      </c>
      <c r="D1102" s="385" t="s">
        <v>380</v>
      </c>
      <c r="E1102" s="385" t="s">
        <v>19</v>
      </c>
      <c r="F1102" s="385" t="s">
        <v>465</v>
      </c>
      <c r="G1102" s="385" t="s">
        <v>19</v>
      </c>
      <c r="H1102" s="386">
        <v>0</v>
      </c>
      <c r="I1102" s="386">
        <v>5850</v>
      </c>
      <c r="J1102" s="386">
        <v>0</v>
      </c>
      <c r="K1102" s="386">
        <v>2449.7199999999998</v>
      </c>
      <c r="L1102" s="387" t="s">
        <v>466</v>
      </c>
    </row>
    <row r="1103" spans="1:12" ht="25.5" hidden="1">
      <c r="A1103" s="385" t="s">
        <v>357</v>
      </c>
      <c r="B1103" s="385" t="s">
        <v>289</v>
      </c>
      <c r="C1103" s="385" t="s">
        <v>694</v>
      </c>
      <c r="D1103" s="385" t="s">
        <v>380</v>
      </c>
      <c r="E1103" s="385" t="s">
        <v>19</v>
      </c>
      <c r="F1103" s="385" t="s">
        <v>669</v>
      </c>
      <c r="G1103" s="385" t="s">
        <v>19</v>
      </c>
      <c r="H1103" s="386">
        <v>0</v>
      </c>
      <c r="I1103" s="386">
        <v>1956000</v>
      </c>
      <c r="J1103" s="386">
        <v>0</v>
      </c>
      <c r="K1103" s="386">
        <v>1028000</v>
      </c>
      <c r="L1103" s="387" t="s">
        <v>670</v>
      </c>
    </row>
    <row r="1104" spans="1:12" ht="25.5" hidden="1">
      <c r="A1104" s="385" t="s">
        <v>357</v>
      </c>
      <c r="B1104" s="385" t="s">
        <v>289</v>
      </c>
      <c r="C1104" s="385" t="s">
        <v>616</v>
      </c>
      <c r="D1104" s="385" t="s">
        <v>380</v>
      </c>
      <c r="E1104" s="385" t="s">
        <v>19</v>
      </c>
      <c r="F1104" s="385" t="s">
        <v>392</v>
      </c>
      <c r="G1104" s="385" t="s">
        <v>12</v>
      </c>
      <c r="H1104" s="386">
        <v>0</v>
      </c>
      <c r="I1104" s="386">
        <v>39732</v>
      </c>
      <c r="J1104" s="386">
        <v>0</v>
      </c>
      <c r="K1104" s="386">
        <v>27993</v>
      </c>
      <c r="L1104" s="387" t="s">
        <v>393</v>
      </c>
    </row>
    <row r="1105" spans="1:12" hidden="1">
      <c r="A1105" s="385" t="s">
        <v>357</v>
      </c>
      <c r="B1105" s="385" t="s">
        <v>289</v>
      </c>
      <c r="C1105" s="385" t="s">
        <v>640</v>
      </c>
      <c r="D1105" s="385" t="s">
        <v>380</v>
      </c>
      <c r="E1105" s="385" t="s">
        <v>19</v>
      </c>
      <c r="F1105" s="385" t="s">
        <v>667</v>
      </c>
      <c r="G1105" s="385" t="s">
        <v>19</v>
      </c>
      <c r="H1105" s="386">
        <v>0</v>
      </c>
      <c r="I1105" s="386">
        <v>23016</v>
      </c>
      <c r="J1105" s="386">
        <v>0</v>
      </c>
      <c r="K1105" s="386">
        <v>15344</v>
      </c>
      <c r="L1105" s="387" t="s">
        <v>668</v>
      </c>
    </row>
    <row r="1106" spans="1:12" ht="25.5" hidden="1">
      <c r="A1106" s="385" t="s">
        <v>357</v>
      </c>
      <c r="B1106" s="385" t="s">
        <v>289</v>
      </c>
      <c r="C1106" s="385" t="s">
        <v>617</v>
      </c>
      <c r="D1106" s="385" t="s">
        <v>380</v>
      </c>
      <c r="E1106" s="385" t="s">
        <v>19</v>
      </c>
      <c r="F1106" s="385" t="s">
        <v>669</v>
      </c>
      <c r="G1106" s="385" t="s">
        <v>19</v>
      </c>
      <c r="H1106" s="386">
        <v>0</v>
      </c>
      <c r="I1106" s="386">
        <v>306605</v>
      </c>
      <c r="J1106" s="386">
        <v>0</v>
      </c>
      <c r="K1106" s="386">
        <v>116570.09</v>
      </c>
      <c r="L1106" s="387" t="s">
        <v>670</v>
      </c>
    </row>
    <row r="1107" spans="1:12" hidden="1">
      <c r="A1107" s="385" t="s">
        <v>357</v>
      </c>
      <c r="B1107" s="385" t="s">
        <v>289</v>
      </c>
      <c r="C1107" s="385" t="s">
        <v>617</v>
      </c>
      <c r="D1107" s="385" t="s">
        <v>380</v>
      </c>
      <c r="E1107" s="385" t="s">
        <v>19</v>
      </c>
      <c r="F1107" s="385" t="s">
        <v>667</v>
      </c>
      <c r="G1107" s="385" t="s">
        <v>19</v>
      </c>
      <c r="H1107" s="386">
        <v>0</v>
      </c>
      <c r="I1107" s="386">
        <v>95471.13</v>
      </c>
      <c r="J1107" s="386">
        <v>0</v>
      </c>
      <c r="K1107" s="386">
        <v>58711.64</v>
      </c>
      <c r="L1107" s="387" t="s">
        <v>668</v>
      </c>
    </row>
    <row r="1108" spans="1:12" hidden="1">
      <c r="A1108" s="385" t="s">
        <v>357</v>
      </c>
      <c r="B1108" s="385" t="s">
        <v>289</v>
      </c>
      <c r="C1108" s="385" t="s">
        <v>618</v>
      </c>
      <c r="D1108" s="385" t="s">
        <v>380</v>
      </c>
      <c r="E1108" s="385" t="s">
        <v>19</v>
      </c>
      <c r="F1108" s="385" t="s">
        <v>667</v>
      </c>
      <c r="G1108" s="385" t="s">
        <v>19</v>
      </c>
      <c r="H1108" s="386">
        <v>0</v>
      </c>
      <c r="I1108" s="386">
        <v>11070.68</v>
      </c>
      <c r="J1108" s="386">
        <v>0</v>
      </c>
      <c r="K1108" s="386">
        <v>6741.73</v>
      </c>
      <c r="L1108" s="387" t="s">
        <v>668</v>
      </c>
    </row>
    <row r="1109" spans="1:12" ht="25.5" hidden="1">
      <c r="A1109" s="385" t="s">
        <v>357</v>
      </c>
      <c r="B1109" s="385" t="s">
        <v>289</v>
      </c>
      <c r="C1109" s="385" t="s">
        <v>772</v>
      </c>
      <c r="D1109" s="385" t="s">
        <v>380</v>
      </c>
      <c r="E1109" s="385" t="s">
        <v>19</v>
      </c>
      <c r="F1109" s="385" t="s">
        <v>669</v>
      </c>
      <c r="G1109" s="385" t="s">
        <v>19</v>
      </c>
      <c r="H1109" s="386">
        <v>0</v>
      </c>
      <c r="I1109" s="386">
        <v>5312.5</v>
      </c>
      <c r="J1109" s="386">
        <v>0</v>
      </c>
      <c r="K1109" s="386">
        <v>5312.5</v>
      </c>
      <c r="L1109" s="387" t="s">
        <v>670</v>
      </c>
    </row>
    <row r="1110" spans="1:12" hidden="1">
      <c r="A1110" s="385" t="s">
        <v>357</v>
      </c>
      <c r="B1110" s="385" t="s">
        <v>289</v>
      </c>
      <c r="C1110" s="385" t="s">
        <v>772</v>
      </c>
      <c r="D1110" s="385" t="s">
        <v>380</v>
      </c>
      <c r="E1110" s="385" t="s">
        <v>19</v>
      </c>
      <c r="F1110" s="385" t="s">
        <v>667</v>
      </c>
      <c r="G1110" s="385" t="s">
        <v>19</v>
      </c>
      <c r="H1110" s="386">
        <v>0</v>
      </c>
      <c r="I1110" s="386">
        <v>2979.35</v>
      </c>
      <c r="J1110" s="386">
        <v>0</v>
      </c>
      <c r="K1110" s="386">
        <v>2979.35</v>
      </c>
      <c r="L1110" s="387" t="s">
        <v>668</v>
      </c>
    </row>
    <row r="1111" spans="1:12" hidden="1">
      <c r="A1111" s="385" t="s">
        <v>357</v>
      </c>
      <c r="B1111" s="385" t="s">
        <v>289</v>
      </c>
      <c r="C1111" s="385" t="s">
        <v>773</v>
      </c>
      <c r="D1111" s="385" t="s">
        <v>380</v>
      </c>
      <c r="E1111" s="385" t="s">
        <v>19</v>
      </c>
      <c r="F1111" s="385" t="s">
        <v>667</v>
      </c>
      <c r="G1111" s="385" t="s">
        <v>19</v>
      </c>
      <c r="H1111" s="386">
        <v>0</v>
      </c>
      <c r="I1111" s="386">
        <v>234.11</v>
      </c>
      <c r="J1111" s="386">
        <v>0</v>
      </c>
      <c r="K1111" s="386">
        <v>234.11</v>
      </c>
      <c r="L1111" s="387" t="s">
        <v>668</v>
      </c>
    </row>
    <row r="1112" spans="1:12" ht="25.5" hidden="1">
      <c r="A1112" s="385" t="s">
        <v>357</v>
      </c>
      <c r="B1112" s="385" t="s">
        <v>289</v>
      </c>
      <c r="C1112" s="385" t="s">
        <v>619</v>
      </c>
      <c r="D1112" s="385" t="s">
        <v>380</v>
      </c>
      <c r="E1112" s="385" t="s">
        <v>19</v>
      </c>
      <c r="F1112" s="385" t="s">
        <v>669</v>
      </c>
      <c r="G1112" s="385" t="s">
        <v>19</v>
      </c>
      <c r="H1112" s="386">
        <v>0</v>
      </c>
      <c r="I1112" s="386">
        <v>51908.23</v>
      </c>
      <c r="J1112" s="386">
        <v>0</v>
      </c>
      <c r="K1112" s="386">
        <v>17582.54</v>
      </c>
      <c r="L1112" s="387" t="s">
        <v>670</v>
      </c>
    </row>
    <row r="1113" spans="1:12" hidden="1">
      <c r="A1113" s="385" t="s">
        <v>357</v>
      </c>
      <c r="B1113" s="385" t="s">
        <v>289</v>
      </c>
      <c r="C1113" s="385" t="s">
        <v>619</v>
      </c>
      <c r="D1113" s="385" t="s">
        <v>380</v>
      </c>
      <c r="E1113" s="385" t="s">
        <v>19</v>
      </c>
      <c r="F1113" s="385" t="s">
        <v>667</v>
      </c>
      <c r="G1113" s="385" t="s">
        <v>19</v>
      </c>
      <c r="H1113" s="386">
        <v>0</v>
      </c>
      <c r="I1113" s="386">
        <v>16604.39</v>
      </c>
      <c r="J1113" s="386">
        <v>0</v>
      </c>
      <c r="K1113" s="386">
        <v>10623.29</v>
      </c>
      <c r="L1113" s="387" t="s">
        <v>668</v>
      </c>
    </row>
    <row r="1114" spans="1:12" hidden="1">
      <c r="A1114" s="385" t="s">
        <v>357</v>
      </c>
      <c r="B1114" s="385" t="s">
        <v>289</v>
      </c>
      <c r="C1114" s="385" t="s">
        <v>620</v>
      </c>
      <c r="D1114" s="385" t="s">
        <v>380</v>
      </c>
      <c r="E1114" s="385" t="s">
        <v>19</v>
      </c>
      <c r="F1114" s="385" t="s">
        <v>667</v>
      </c>
      <c r="G1114" s="385" t="s">
        <v>19</v>
      </c>
      <c r="H1114" s="386">
        <v>0</v>
      </c>
      <c r="I1114" s="386">
        <v>1906.64</v>
      </c>
      <c r="J1114" s="386">
        <v>0</v>
      </c>
      <c r="K1114" s="386">
        <v>1219.8</v>
      </c>
      <c r="L1114" s="387" t="s">
        <v>668</v>
      </c>
    </row>
    <row r="1115" spans="1:12" ht="25.5" hidden="1">
      <c r="A1115" s="385" t="s">
        <v>357</v>
      </c>
      <c r="B1115" s="385" t="s">
        <v>289</v>
      </c>
      <c r="C1115" s="385" t="s">
        <v>621</v>
      </c>
      <c r="D1115" s="385" t="s">
        <v>380</v>
      </c>
      <c r="E1115" s="385" t="s">
        <v>19</v>
      </c>
      <c r="F1115" s="385" t="s">
        <v>669</v>
      </c>
      <c r="G1115" s="385" t="s">
        <v>19</v>
      </c>
      <c r="H1115" s="386">
        <v>0</v>
      </c>
      <c r="I1115" s="386">
        <v>7511.82</v>
      </c>
      <c r="J1115" s="386">
        <v>0</v>
      </c>
      <c r="K1115" s="386">
        <v>2281.15</v>
      </c>
      <c r="L1115" s="387" t="s">
        <v>670</v>
      </c>
    </row>
    <row r="1116" spans="1:12" hidden="1">
      <c r="A1116" s="385" t="s">
        <v>357</v>
      </c>
      <c r="B1116" s="385" t="s">
        <v>289</v>
      </c>
      <c r="C1116" s="385" t="s">
        <v>621</v>
      </c>
      <c r="D1116" s="385" t="s">
        <v>380</v>
      </c>
      <c r="E1116" s="385" t="s">
        <v>19</v>
      </c>
      <c r="F1116" s="385" t="s">
        <v>667</v>
      </c>
      <c r="G1116" s="385" t="s">
        <v>19</v>
      </c>
      <c r="H1116" s="386">
        <v>0</v>
      </c>
      <c r="I1116" s="386">
        <v>2362.4299999999998</v>
      </c>
      <c r="J1116" s="386">
        <v>0</v>
      </c>
      <c r="K1116" s="386">
        <v>1508.26</v>
      </c>
      <c r="L1116" s="387" t="s">
        <v>668</v>
      </c>
    </row>
    <row r="1117" spans="1:12" hidden="1">
      <c r="A1117" s="385" t="s">
        <v>357</v>
      </c>
      <c r="B1117" s="385" t="s">
        <v>289</v>
      </c>
      <c r="C1117" s="385" t="s">
        <v>622</v>
      </c>
      <c r="D1117" s="385" t="s">
        <v>380</v>
      </c>
      <c r="E1117" s="385" t="s">
        <v>19</v>
      </c>
      <c r="F1117" s="385" t="s">
        <v>667</v>
      </c>
      <c r="G1117" s="385" t="s">
        <v>19</v>
      </c>
      <c r="H1117" s="386">
        <v>0</v>
      </c>
      <c r="I1117" s="386">
        <v>271.27</v>
      </c>
      <c r="J1117" s="386">
        <v>0</v>
      </c>
      <c r="K1117" s="386">
        <v>173.15</v>
      </c>
      <c r="L1117" s="387" t="s">
        <v>668</v>
      </c>
    </row>
    <row r="1118" spans="1:12" hidden="1">
      <c r="A1118" s="385" t="s">
        <v>357</v>
      </c>
      <c r="B1118" s="385" t="s">
        <v>289</v>
      </c>
      <c r="C1118" s="385" t="s">
        <v>623</v>
      </c>
      <c r="D1118" s="385" t="s">
        <v>380</v>
      </c>
      <c r="E1118" s="385" t="s">
        <v>19</v>
      </c>
      <c r="F1118" s="385" t="s">
        <v>667</v>
      </c>
      <c r="G1118" s="385" t="s">
        <v>19</v>
      </c>
      <c r="H1118" s="386">
        <v>0</v>
      </c>
      <c r="I1118" s="386">
        <v>5170.55</v>
      </c>
      <c r="J1118" s="386">
        <v>0</v>
      </c>
      <c r="K1118" s="386">
        <v>3406.05</v>
      </c>
      <c r="L1118" s="387" t="s">
        <v>668</v>
      </c>
    </row>
    <row r="1119" spans="1:12" hidden="1">
      <c r="A1119" s="385" t="s">
        <v>357</v>
      </c>
      <c r="B1119" s="385" t="s">
        <v>289</v>
      </c>
      <c r="C1119" s="385" t="s">
        <v>624</v>
      </c>
      <c r="D1119" s="385" t="s">
        <v>380</v>
      </c>
      <c r="E1119" s="385" t="s">
        <v>19</v>
      </c>
      <c r="F1119" s="385" t="s">
        <v>667</v>
      </c>
      <c r="G1119" s="385" t="s">
        <v>19</v>
      </c>
      <c r="H1119" s="386">
        <v>0</v>
      </c>
      <c r="I1119" s="386">
        <v>603.16999999999996</v>
      </c>
      <c r="J1119" s="386">
        <v>0</v>
      </c>
      <c r="K1119" s="386">
        <v>378.69</v>
      </c>
      <c r="L1119" s="387" t="s">
        <v>668</v>
      </c>
    </row>
    <row r="1120" spans="1:12" ht="25.5" hidden="1">
      <c r="A1120" s="385" t="s">
        <v>357</v>
      </c>
      <c r="B1120" s="385" t="s">
        <v>289</v>
      </c>
      <c r="C1120" s="385" t="s">
        <v>555</v>
      </c>
      <c r="D1120" s="385" t="s">
        <v>380</v>
      </c>
      <c r="E1120" s="385" t="s">
        <v>19</v>
      </c>
      <c r="F1120" s="385" t="s">
        <v>669</v>
      </c>
      <c r="G1120" s="385" t="s">
        <v>19</v>
      </c>
      <c r="H1120" s="386">
        <v>0</v>
      </c>
      <c r="I1120" s="386">
        <v>17124.150000000001</v>
      </c>
      <c r="J1120" s="386">
        <v>0</v>
      </c>
      <c r="K1120" s="386">
        <v>6652.05</v>
      </c>
      <c r="L1120" s="387" t="s">
        <v>670</v>
      </c>
    </row>
    <row r="1121" spans="1:12" hidden="1">
      <c r="A1121" s="385" t="s">
        <v>357</v>
      </c>
      <c r="B1121" s="385" t="s">
        <v>289</v>
      </c>
      <c r="C1121" s="385" t="s">
        <v>555</v>
      </c>
      <c r="D1121" s="385" t="s">
        <v>380</v>
      </c>
      <c r="E1121" s="385" t="s">
        <v>19</v>
      </c>
      <c r="F1121" s="385" t="s">
        <v>667</v>
      </c>
      <c r="G1121" s="385" t="s">
        <v>19</v>
      </c>
      <c r="H1121" s="386">
        <v>0</v>
      </c>
      <c r="I1121" s="386">
        <v>113358.38</v>
      </c>
      <c r="J1121" s="386">
        <v>0</v>
      </c>
      <c r="K1121" s="386">
        <v>64576.93</v>
      </c>
      <c r="L1121" s="387" t="s">
        <v>668</v>
      </c>
    </row>
    <row r="1122" spans="1:12" hidden="1">
      <c r="A1122" s="385" t="s">
        <v>357</v>
      </c>
      <c r="B1122" s="385" t="s">
        <v>289</v>
      </c>
      <c r="C1122" s="385" t="s">
        <v>566</v>
      </c>
      <c r="D1122" s="385" t="s">
        <v>380</v>
      </c>
      <c r="E1122" s="385" t="s">
        <v>19</v>
      </c>
      <c r="F1122" s="385" t="s">
        <v>667</v>
      </c>
      <c r="G1122" s="385" t="s">
        <v>19</v>
      </c>
      <c r="H1122" s="386">
        <v>0</v>
      </c>
      <c r="I1122" s="386">
        <v>13016.62</v>
      </c>
      <c r="J1122" s="386">
        <v>0</v>
      </c>
      <c r="K1122" s="386">
        <v>7415.17</v>
      </c>
      <c r="L1122" s="387" t="s">
        <v>668</v>
      </c>
    </row>
    <row r="1123" spans="1:12" ht="25.5" hidden="1">
      <c r="A1123" s="385" t="s">
        <v>357</v>
      </c>
      <c r="B1123" s="385" t="s">
        <v>289</v>
      </c>
      <c r="C1123" s="385" t="s">
        <v>551</v>
      </c>
      <c r="D1123" s="385" t="s">
        <v>380</v>
      </c>
      <c r="E1123" s="385" t="s">
        <v>19</v>
      </c>
      <c r="F1123" s="385" t="s">
        <v>669</v>
      </c>
      <c r="G1123" s="385" t="s">
        <v>19</v>
      </c>
      <c r="H1123" s="386">
        <v>0</v>
      </c>
      <c r="I1123" s="386">
        <v>1717.88</v>
      </c>
      <c r="J1123" s="386">
        <v>0</v>
      </c>
      <c r="K1123" s="386">
        <v>0</v>
      </c>
      <c r="L1123" s="387" t="s">
        <v>670</v>
      </c>
    </row>
    <row r="1124" spans="1:12" hidden="1">
      <c r="A1124" s="385" t="s">
        <v>357</v>
      </c>
      <c r="B1124" s="385" t="s">
        <v>289</v>
      </c>
      <c r="C1124" s="385" t="s">
        <v>551</v>
      </c>
      <c r="D1124" s="385" t="s">
        <v>380</v>
      </c>
      <c r="E1124" s="385" t="s">
        <v>19</v>
      </c>
      <c r="F1124" s="385" t="s">
        <v>667</v>
      </c>
      <c r="G1124" s="385" t="s">
        <v>19</v>
      </c>
      <c r="H1124" s="386">
        <v>0</v>
      </c>
      <c r="I1124" s="386">
        <v>351985.58</v>
      </c>
      <c r="J1124" s="386">
        <v>0</v>
      </c>
      <c r="K1124" s="386">
        <v>195836.27</v>
      </c>
      <c r="L1124" s="387" t="s">
        <v>668</v>
      </c>
    </row>
    <row r="1125" spans="1:12" hidden="1">
      <c r="A1125" s="385" t="s">
        <v>357</v>
      </c>
      <c r="B1125" s="385" t="s">
        <v>289</v>
      </c>
      <c r="C1125" s="385" t="s">
        <v>552</v>
      </c>
      <c r="D1125" s="385" t="s">
        <v>380</v>
      </c>
      <c r="E1125" s="385" t="s">
        <v>19</v>
      </c>
      <c r="F1125" s="385" t="s">
        <v>667</v>
      </c>
      <c r="G1125" s="385" t="s">
        <v>19</v>
      </c>
      <c r="H1125" s="386">
        <v>0</v>
      </c>
      <c r="I1125" s="386">
        <v>40408.089999999997</v>
      </c>
      <c r="J1125" s="386">
        <v>0</v>
      </c>
      <c r="K1125" s="386">
        <v>22487.34</v>
      </c>
      <c r="L1125" s="387" t="s">
        <v>668</v>
      </c>
    </row>
    <row r="1126" spans="1:12" ht="25.5" hidden="1">
      <c r="A1126" s="385" t="s">
        <v>357</v>
      </c>
      <c r="B1126" s="385" t="s">
        <v>289</v>
      </c>
      <c r="C1126" s="385" t="s">
        <v>559</v>
      </c>
      <c r="D1126" s="385" t="s">
        <v>380</v>
      </c>
      <c r="E1126" s="385" t="s">
        <v>19</v>
      </c>
      <c r="F1126" s="385" t="s">
        <v>389</v>
      </c>
      <c r="G1126" s="385" t="s">
        <v>19</v>
      </c>
      <c r="H1126" s="386">
        <v>0</v>
      </c>
      <c r="I1126" s="386">
        <v>0</v>
      </c>
      <c r="J1126" s="386">
        <v>0</v>
      </c>
      <c r="K1126" s="386">
        <v>0</v>
      </c>
      <c r="L1126" s="387" t="s">
        <v>390</v>
      </c>
    </row>
    <row r="1127" spans="1:12" hidden="1">
      <c r="A1127" s="385" t="s">
        <v>357</v>
      </c>
      <c r="B1127" s="385" t="s">
        <v>289</v>
      </c>
      <c r="C1127" s="385" t="s">
        <v>695</v>
      </c>
      <c r="D1127" s="385" t="s">
        <v>380</v>
      </c>
      <c r="E1127" s="385" t="s">
        <v>19</v>
      </c>
      <c r="F1127" s="385" t="s">
        <v>667</v>
      </c>
      <c r="G1127" s="385" t="s">
        <v>19</v>
      </c>
      <c r="H1127" s="386">
        <v>0</v>
      </c>
      <c r="I1127" s="386">
        <v>3291.99</v>
      </c>
      <c r="J1127" s="386">
        <v>0</v>
      </c>
      <c r="K1127" s="386">
        <v>0</v>
      </c>
      <c r="L1127" s="387" t="s">
        <v>668</v>
      </c>
    </row>
    <row r="1128" spans="1:12" hidden="1">
      <c r="A1128" s="385" t="s">
        <v>357</v>
      </c>
      <c r="B1128" s="385" t="s">
        <v>289</v>
      </c>
      <c r="C1128" s="385" t="s">
        <v>696</v>
      </c>
      <c r="D1128" s="385" t="s">
        <v>380</v>
      </c>
      <c r="E1128" s="385" t="s">
        <v>19</v>
      </c>
      <c r="F1128" s="385" t="s">
        <v>667</v>
      </c>
      <c r="G1128" s="385" t="s">
        <v>19</v>
      </c>
      <c r="H1128" s="386">
        <v>0</v>
      </c>
      <c r="I1128" s="386">
        <v>378.01</v>
      </c>
      <c r="J1128" s="386">
        <v>0</v>
      </c>
      <c r="K1128" s="386">
        <v>0</v>
      </c>
      <c r="L1128" s="387" t="s">
        <v>668</v>
      </c>
    </row>
    <row r="1129" spans="1:12" ht="25.5" hidden="1">
      <c r="A1129" s="385" t="s">
        <v>357</v>
      </c>
      <c r="B1129" s="385" t="s">
        <v>289</v>
      </c>
      <c r="C1129" s="385" t="s">
        <v>625</v>
      </c>
      <c r="D1129" s="385" t="s">
        <v>380</v>
      </c>
      <c r="E1129" s="385" t="s">
        <v>19</v>
      </c>
      <c r="F1129" s="385" t="s">
        <v>669</v>
      </c>
      <c r="G1129" s="385" t="s">
        <v>19</v>
      </c>
      <c r="H1129" s="386">
        <v>0</v>
      </c>
      <c r="I1129" s="386">
        <v>4000</v>
      </c>
      <c r="J1129" s="386">
        <v>0</v>
      </c>
      <c r="K1129" s="386">
        <v>190.9</v>
      </c>
      <c r="L1129" s="387" t="s">
        <v>670</v>
      </c>
    </row>
    <row r="1130" spans="1:12" hidden="1">
      <c r="A1130" s="385" t="s">
        <v>357</v>
      </c>
      <c r="B1130" s="385" t="s">
        <v>289</v>
      </c>
      <c r="C1130" s="385" t="s">
        <v>625</v>
      </c>
      <c r="D1130" s="385" t="s">
        <v>380</v>
      </c>
      <c r="E1130" s="385" t="s">
        <v>19</v>
      </c>
      <c r="F1130" s="385" t="s">
        <v>667</v>
      </c>
      <c r="G1130" s="385" t="s">
        <v>19</v>
      </c>
      <c r="H1130" s="386">
        <v>0</v>
      </c>
      <c r="I1130" s="386">
        <v>7427.16</v>
      </c>
      <c r="J1130" s="386">
        <v>0</v>
      </c>
      <c r="K1130" s="386">
        <v>4252.0600000000004</v>
      </c>
      <c r="L1130" s="387" t="s">
        <v>668</v>
      </c>
    </row>
    <row r="1131" spans="1:12" hidden="1">
      <c r="A1131" s="385" t="s">
        <v>357</v>
      </c>
      <c r="B1131" s="385" t="s">
        <v>289</v>
      </c>
      <c r="C1131" s="385" t="s">
        <v>626</v>
      </c>
      <c r="D1131" s="385" t="s">
        <v>380</v>
      </c>
      <c r="E1131" s="385" t="s">
        <v>19</v>
      </c>
      <c r="F1131" s="385" t="s">
        <v>667</v>
      </c>
      <c r="G1131" s="385" t="s">
        <v>19</v>
      </c>
      <c r="H1131" s="386">
        <v>0</v>
      </c>
      <c r="I1131" s="386">
        <v>852.84</v>
      </c>
      <c r="J1131" s="386">
        <v>0</v>
      </c>
      <c r="K1131" s="386">
        <v>488.24</v>
      </c>
      <c r="L1131" s="387" t="s">
        <v>668</v>
      </c>
    </row>
    <row r="1132" spans="1:12" ht="25.5" hidden="1">
      <c r="A1132" s="385" t="s">
        <v>506</v>
      </c>
      <c r="B1132" s="385" t="s">
        <v>507</v>
      </c>
      <c r="C1132" s="385" t="s">
        <v>521</v>
      </c>
      <c r="D1132" s="385" t="s">
        <v>380</v>
      </c>
      <c r="E1132" s="385" t="s">
        <v>19</v>
      </c>
      <c r="F1132" s="385" t="s">
        <v>475</v>
      </c>
      <c r="G1132" s="385" t="s">
        <v>19</v>
      </c>
      <c r="H1132" s="386">
        <v>0</v>
      </c>
      <c r="I1132" s="386">
        <v>1500</v>
      </c>
      <c r="J1132" s="386">
        <v>0</v>
      </c>
      <c r="K1132" s="386">
        <v>0</v>
      </c>
      <c r="L1132" s="387" t="s">
        <v>476</v>
      </c>
    </row>
    <row r="1133" spans="1:12" ht="25.5" hidden="1">
      <c r="A1133" s="385" t="s">
        <v>506</v>
      </c>
      <c r="B1133" s="385" t="s">
        <v>507</v>
      </c>
      <c r="C1133" s="385" t="s">
        <v>523</v>
      </c>
      <c r="D1133" s="385" t="s">
        <v>380</v>
      </c>
      <c r="E1133" s="385" t="s">
        <v>19</v>
      </c>
      <c r="F1133" s="385" t="s">
        <v>475</v>
      </c>
      <c r="G1133" s="385" t="s">
        <v>19</v>
      </c>
      <c r="H1133" s="386">
        <v>0</v>
      </c>
      <c r="I1133" s="386">
        <v>690508</v>
      </c>
      <c r="J1133" s="386">
        <v>0</v>
      </c>
      <c r="K1133" s="386">
        <v>419238.27</v>
      </c>
      <c r="L1133" s="387" t="s">
        <v>476</v>
      </c>
    </row>
    <row r="1134" spans="1:12" ht="25.5" hidden="1">
      <c r="A1134" s="385" t="s">
        <v>506</v>
      </c>
      <c r="B1134" s="385" t="s">
        <v>507</v>
      </c>
      <c r="C1134" s="385" t="s">
        <v>523</v>
      </c>
      <c r="D1134" s="385" t="s">
        <v>380</v>
      </c>
      <c r="E1134" s="385" t="s">
        <v>19</v>
      </c>
      <c r="F1134" s="385" t="s">
        <v>488</v>
      </c>
      <c r="G1134" s="385" t="s">
        <v>19</v>
      </c>
      <c r="H1134" s="386">
        <v>0</v>
      </c>
      <c r="I1134" s="386">
        <v>12491</v>
      </c>
      <c r="J1134" s="386">
        <v>0</v>
      </c>
      <c r="K1134" s="386">
        <v>0</v>
      </c>
      <c r="L1134" s="387" t="s">
        <v>489</v>
      </c>
    </row>
    <row r="1135" spans="1:12" ht="25.5" hidden="1">
      <c r="A1135" s="385" t="s">
        <v>506</v>
      </c>
      <c r="B1135" s="385" t="s">
        <v>507</v>
      </c>
      <c r="C1135" s="385" t="s">
        <v>524</v>
      </c>
      <c r="D1135" s="385" t="s">
        <v>380</v>
      </c>
      <c r="E1135" s="385" t="s">
        <v>19</v>
      </c>
      <c r="F1135" s="385" t="s">
        <v>475</v>
      </c>
      <c r="G1135" s="385" t="s">
        <v>19</v>
      </c>
      <c r="H1135" s="386">
        <v>0</v>
      </c>
      <c r="I1135" s="386">
        <v>55258</v>
      </c>
      <c r="J1135" s="386">
        <v>0</v>
      </c>
      <c r="K1135" s="386">
        <v>51000.28</v>
      </c>
      <c r="L1135" s="387" t="s">
        <v>476</v>
      </c>
    </row>
    <row r="1136" spans="1:12" ht="25.5" hidden="1">
      <c r="A1136" s="385" t="s">
        <v>506</v>
      </c>
      <c r="B1136" s="385" t="s">
        <v>507</v>
      </c>
      <c r="C1136" s="385" t="s">
        <v>525</v>
      </c>
      <c r="D1136" s="385" t="s">
        <v>380</v>
      </c>
      <c r="E1136" s="385" t="s">
        <v>19</v>
      </c>
      <c r="F1136" s="385" t="s">
        <v>475</v>
      </c>
      <c r="G1136" s="385" t="s">
        <v>19</v>
      </c>
      <c r="H1136" s="386">
        <v>0</v>
      </c>
      <c r="I1136" s="386">
        <v>368916</v>
      </c>
      <c r="J1136" s="386">
        <v>0</v>
      </c>
      <c r="K1136" s="386">
        <v>220511.93</v>
      </c>
      <c r="L1136" s="387" t="s">
        <v>476</v>
      </c>
    </row>
    <row r="1137" spans="1:12" ht="25.5" hidden="1">
      <c r="A1137" s="385" t="s">
        <v>506</v>
      </c>
      <c r="B1137" s="385" t="s">
        <v>507</v>
      </c>
      <c r="C1137" s="385" t="s">
        <v>525</v>
      </c>
      <c r="D1137" s="385" t="s">
        <v>380</v>
      </c>
      <c r="E1137" s="385" t="s">
        <v>19</v>
      </c>
      <c r="F1137" s="385" t="s">
        <v>488</v>
      </c>
      <c r="G1137" s="385" t="s">
        <v>19</v>
      </c>
      <c r="H1137" s="386">
        <v>0</v>
      </c>
      <c r="I1137" s="386">
        <v>458</v>
      </c>
      <c r="J1137" s="386">
        <v>0</v>
      </c>
      <c r="K1137" s="386">
        <v>0</v>
      </c>
      <c r="L1137" s="387" t="s">
        <v>489</v>
      </c>
    </row>
    <row r="1138" spans="1:12" ht="25.5" hidden="1">
      <c r="A1138" s="385" t="s">
        <v>506</v>
      </c>
      <c r="B1138" s="385" t="s">
        <v>507</v>
      </c>
      <c r="C1138" s="385" t="s">
        <v>526</v>
      </c>
      <c r="D1138" s="385" t="s">
        <v>380</v>
      </c>
      <c r="E1138" s="385" t="s">
        <v>19</v>
      </c>
      <c r="F1138" s="385" t="s">
        <v>488</v>
      </c>
      <c r="G1138" s="385" t="s">
        <v>19</v>
      </c>
      <c r="H1138" s="386">
        <v>0</v>
      </c>
      <c r="I1138" s="386">
        <v>65</v>
      </c>
      <c r="J1138" s="386">
        <v>0</v>
      </c>
      <c r="K1138" s="386">
        <v>0</v>
      </c>
      <c r="L1138" s="387" t="s">
        <v>489</v>
      </c>
    </row>
    <row r="1139" spans="1:12" ht="25.5" hidden="1">
      <c r="A1139" s="385" t="s">
        <v>506</v>
      </c>
      <c r="B1139" s="385" t="s">
        <v>507</v>
      </c>
      <c r="C1139" s="385" t="s">
        <v>526</v>
      </c>
      <c r="D1139" s="385" t="s">
        <v>380</v>
      </c>
      <c r="E1139" s="385" t="s">
        <v>19</v>
      </c>
      <c r="F1139" s="385" t="s">
        <v>475</v>
      </c>
      <c r="G1139" s="385" t="s">
        <v>19</v>
      </c>
      <c r="H1139" s="386">
        <v>0</v>
      </c>
      <c r="I1139" s="386">
        <v>52579</v>
      </c>
      <c r="J1139" s="386">
        <v>0</v>
      </c>
      <c r="K1139" s="386">
        <v>22877.74</v>
      </c>
      <c r="L1139" s="387" t="s">
        <v>476</v>
      </c>
    </row>
    <row r="1140" spans="1:12" ht="25.5" hidden="1">
      <c r="A1140" s="385" t="s">
        <v>506</v>
      </c>
      <c r="B1140" s="385" t="s">
        <v>507</v>
      </c>
      <c r="C1140" s="385" t="s">
        <v>527</v>
      </c>
      <c r="D1140" s="385" t="s">
        <v>380</v>
      </c>
      <c r="E1140" s="385" t="s">
        <v>19</v>
      </c>
      <c r="F1140" s="385" t="s">
        <v>475</v>
      </c>
      <c r="G1140" s="385" t="s">
        <v>19</v>
      </c>
      <c r="H1140" s="386">
        <v>0</v>
      </c>
      <c r="I1140" s="386">
        <v>14000</v>
      </c>
      <c r="J1140" s="386">
        <v>0</v>
      </c>
      <c r="K1140" s="386">
        <v>9067.08</v>
      </c>
      <c r="L1140" s="387" t="s">
        <v>476</v>
      </c>
    </row>
    <row r="1141" spans="1:12" ht="25.5" hidden="1">
      <c r="A1141" s="385" t="s">
        <v>506</v>
      </c>
      <c r="B1141" s="385" t="s">
        <v>507</v>
      </c>
      <c r="C1141" s="385" t="s">
        <v>528</v>
      </c>
      <c r="D1141" s="385" t="s">
        <v>380</v>
      </c>
      <c r="E1141" s="385" t="s">
        <v>19</v>
      </c>
      <c r="F1141" s="385" t="s">
        <v>475</v>
      </c>
      <c r="G1141" s="385" t="s">
        <v>19</v>
      </c>
      <c r="H1141" s="386">
        <v>0</v>
      </c>
      <c r="I1141" s="386">
        <v>26000</v>
      </c>
      <c r="J1141" s="386">
        <v>0</v>
      </c>
      <c r="K1141" s="386">
        <v>10935.37</v>
      </c>
      <c r="L1141" s="387" t="s">
        <v>476</v>
      </c>
    </row>
    <row r="1142" spans="1:12" ht="25.5" hidden="1">
      <c r="A1142" s="385" t="s">
        <v>506</v>
      </c>
      <c r="B1142" s="385" t="s">
        <v>507</v>
      </c>
      <c r="C1142" s="385" t="s">
        <v>529</v>
      </c>
      <c r="D1142" s="385" t="s">
        <v>380</v>
      </c>
      <c r="E1142" s="385" t="s">
        <v>19</v>
      </c>
      <c r="F1142" s="385" t="s">
        <v>475</v>
      </c>
      <c r="G1142" s="385" t="s">
        <v>19</v>
      </c>
      <c r="H1142" s="386">
        <v>0</v>
      </c>
      <c r="I1142" s="386">
        <v>69487</v>
      </c>
      <c r="J1142" s="386">
        <v>0</v>
      </c>
      <c r="K1142" s="386">
        <v>34264.79</v>
      </c>
      <c r="L1142" s="387" t="s">
        <v>476</v>
      </c>
    </row>
    <row r="1143" spans="1:12" hidden="1">
      <c r="A1143" s="385" t="s">
        <v>506</v>
      </c>
      <c r="B1143" s="385" t="s">
        <v>507</v>
      </c>
      <c r="C1143" s="385" t="s">
        <v>530</v>
      </c>
      <c r="D1143" s="385" t="s">
        <v>380</v>
      </c>
      <c r="E1143" s="385" t="s">
        <v>19</v>
      </c>
      <c r="F1143" s="385" t="s">
        <v>386</v>
      </c>
      <c r="G1143" s="385" t="s">
        <v>19</v>
      </c>
      <c r="H1143" s="386">
        <v>0</v>
      </c>
      <c r="I1143" s="386">
        <v>0</v>
      </c>
      <c r="J1143" s="386">
        <v>0</v>
      </c>
      <c r="K1143" s="386">
        <v>0</v>
      </c>
      <c r="L1143" s="387" t="s">
        <v>387</v>
      </c>
    </row>
    <row r="1144" spans="1:12" ht="25.5" hidden="1">
      <c r="A1144" s="385" t="s">
        <v>506</v>
      </c>
      <c r="B1144" s="385" t="s">
        <v>507</v>
      </c>
      <c r="C1144" s="385" t="s">
        <v>530</v>
      </c>
      <c r="D1144" s="385" t="s">
        <v>380</v>
      </c>
      <c r="E1144" s="385" t="s">
        <v>19</v>
      </c>
      <c r="F1144" s="385" t="s">
        <v>475</v>
      </c>
      <c r="G1144" s="385" t="s">
        <v>19</v>
      </c>
      <c r="H1144" s="386">
        <v>0</v>
      </c>
      <c r="I1144" s="386">
        <v>76000</v>
      </c>
      <c r="J1144" s="386">
        <v>0</v>
      </c>
      <c r="K1144" s="386">
        <v>58342.6</v>
      </c>
      <c r="L1144" s="387" t="s">
        <v>476</v>
      </c>
    </row>
    <row r="1145" spans="1:12" ht="25.5" hidden="1">
      <c r="A1145" s="385" t="s">
        <v>506</v>
      </c>
      <c r="B1145" s="385" t="s">
        <v>507</v>
      </c>
      <c r="C1145" s="385" t="s">
        <v>416</v>
      </c>
      <c r="D1145" s="385" t="s">
        <v>380</v>
      </c>
      <c r="E1145" s="385" t="s">
        <v>19</v>
      </c>
      <c r="F1145" s="385" t="s">
        <v>475</v>
      </c>
      <c r="G1145" s="385" t="s">
        <v>19</v>
      </c>
      <c r="H1145" s="386">
        <v>0</v>
      </c>
      <c r="I1145" s="386">
        <v>5000</v>
      </c>
      <c r="J1145" s="386">
        <v>0</v>
      </c>
      <c r="K1145" s="386">
        <v>0</v>
      </c>
      <c r="L1145" s="387" t="s">
        <v>476</v>
      </c>
    </row>
    <row r="1146" spans="1:12" ht="25.5" hidden="1">
      <c r="A1146" s="385" t="s">
        <v>506</v>
      </c>
      <c r="B1146" s="385" t="s">
        <v>507</v>
      </c>
      <c r="C1146" s="385" t="s">
        <v>531</v>
      </c>
      <c r="D1146" s="385" t="s">
        <v>380</v>
      </c>
      <c r="E1146" s="385" t="s">
        <v>19</v>
      </c>
      <c r="F1146" s="385" t="s">
        <v>475</v>
      </c>
      <c r="G1146" s="385" t="s">
        <v>19</v>
      </c>
      <c r="H1146" s="386">
        <v>0</v>
      </c>
      <c r="I1146" s="386">
        <v>6000</v>
      </c>
      <c r="J1146" s="386">
        <v>0</v>
      </c>
      <c r="K1146" s="386">
        <v>1455</v>
      </c>
      <c r="L1146" s="387" t="s">
        <v>476</v>
      </c>
    </row>
    <row r="1147" spans="1:12" ht="25.5" hidden="1">
      <c r="A1147" s="385" t="s">
        <v>506</v>
      </c>
      <c r="B1147" s="385" t="s">
        <v>507</v>
      </c>
      <c r="C1147" s="385" t="s">
        <v>510</v>
      </c>
      <c r="D1147" s="385" t="s">
        <v>380</v>
      </c>
      <c r="E1147" s="385" t="s">
        <v>19</v>
      </c>
      <c r="F1147" s="385" t="s">
        <v>475</v>
      </c>
      <c r="G1147" s="385" t="s">
        <v>19</v>
      </c>
      <c r="H1147" s="386">
        <v>0</v>
      </c>
      <c r="I1147" s="386">
        <v>30500</v>
      </c>
      <c r="J1147" s="386">
        <v>0</v>
      </c>
      <c r="K1147" s="386">
        <v>22557.39</v>
      </c>
      <c r="L1147" s="387" t="s">
        <v>476</v>
      </c>
    </row>
    <row r="1148" spans="1:12" ht="25.5" hidden="1">
      <c r="A1148" s="385" t="s">
        <v>506</v>
      </c>
      <c r="B1148" s="385" t="s">
        <v>507</v>
      </c>
      <c r="C1148" s="385" t="s">
        <v>535</v>
      </c>
      <c r="D1148" s="385" t="s">
        <v>380</v>
      </c>
      <c r="E1148" s="385" t="s">
        <v>19</v>
      </c>
      <c r="F1148" s="385" t="s">
        <v>475</v>
      </c>
      <c r="G1148" s="385" t="s">
        <v>19</v>
      </c>
      <c r="H1148" s="386">
        <v>0</v>
      </c>
      <c r="I1148" s="386">
        <v>95010</v>
      </c>
      <c r="J1148" s="386">
        <v>0</v>
      </c>
      <c r="K1148" s="386">
        <v>66373</v>
      </c>
      <c r="L1148" s="387" t="s">
        <v>476</v>
      </c>
    </row>
    <row r="1149" spans="1:12" hidden="1">
      <c r="A1149" s="385" t="s">
        <v>506</v>
      </c>
      <c r="B1149" s="385" t="s">
        <v>507</v>
      </c>
      <c r="C1149" s="385" t="s">
        <v>538</v>
      </c>
      <c r="D1149" s="385" t="s">
        <v>380</v>
      </c>
      <c r="E1149" s="385" t="s">
        <v>19</v>
      </c>
      <c r="F1149" s="385" t="s">
        <v>386</v>
      </c>
      <c r="G1149" s="385" t="s">
        <v>19</v>
      </c>
      <c r="H1149" s="386">
        <v>0</v>
      </c>
      <c r="I1149" s="386">
        <v>16469.04</v>
      </c>
      <c r="J1149" s="386">
        <v>0</v>
      </c>
      <c r="K1149" s="386">
        <v>0</v>
      </c>
      <c r="L1149" s="387" t="s">
        <v>387</v>
      </c>
    </row>
    <row r="1150" spans="1:12" ht="25.5" hidden="1">
      <c r="A1150" s="385" t="s">
        <v>506</v>
      </c>
      <c r="B1150" s="385" t="s">
        <v>507</v>
      </c>
      <c r="C1150" s="385" t="s">
        <v>548</v>
      </c>
      <c r="D1150" s="385" t="s">
        <v>380</v>
      </c>
      <c r="E1150" s="385" t="s">
        <v>19</v>
      </c>
      <c r="F1150" s="385" t="s">
        <v>475</v>
      </c>
      <c r="G1150" s="385" t="s">
        <v>19</v>
      </c>
      <c r="H1150" s="386">
        <v>0</v>
      </c>
      <c r="I1150" s="386">
        <v>2778</v>
      </c>
      <c r="J1150" s="386">
        <v>0</v>
      </c>
      <c r="K1150" s="386">
        <v>81.34</v>
      </c>
      <c r="L1150" s="387" t="s">
        <v>476</v>
      </c>
    </row>
    <row r="1151" spans="1:12" ht="25.5" hidden="1">
      <c r="A1151" s="385" t="s">
        <v>506</v>
      </c>
      <c r="B1151" s="385" t="s">
        <v>507</v>
      </c>
      <c r="C1151" s="385" t="s">
        <v>594</v>
      </c>
      <c r="D1151" s="385" t="s">
        <v>380</v>
      </c>
      <c r="E1151" s="385" t="s">
        <v>19</v>
      </c>
      <c r="F1151" s="385" t="s">
        <v>488</v>
      </c>
      <c r="G1151" s="385" t="s">
        <v>19</v>
      </c>
      <c r="H1151" s="386">
        <v>0</v>
      </c>
      <c r="I1151" s="386">
        <v>29704</v>
      </c>
      <c r="J1151" s="386">
        <v>0</v>
      </c>
      <c r="K1151" s="386">
        <v>0</v>
      </c>
      <c r="L1151" s="387" t="s">
        <v>489</v>
      </c>
    </row>
    <row r="1152" spans="1:12" ht="25.5" hidden="1">
      <c r="A1152" s="385" t="s">
        <v>506</v>
      </c>
      <c r="B1152" s="385" t="s">
        <v>507</v>
      </c>
      <c r="C1152" s="385" t="s">
        <v>594</v>
      </c>
      <c r="D1152" s="385" t="s">
        <v>380</v>
      </c>
      <c r="E1152" s="385" t="s">
        <v>19</v>
      </c>
      <c r="F1152" s="385" t="s">
        <v>475</v>
      </c>
      <c r="G1152" s="385" t="s">
        <v>19</v>
      </c>
      <c r="H1152" s="386">
        <v>0</v>
      </c>
      <c r="I1152" s="386">
        <v>1218503</v>
      </c>
      <c r="J1152" s="386">
        <v>0</v>
      </c>
      <c r="K1152" s="386">
        <v>856981.53</v>
      </c>
      <c r="L1152" s="387" t="s">
        <v>476</v>
      </c>
    </row>
    <row r="1153" spans="1:12" ht="25.5" hidden="1">
      <c r="A1153" s="385" t="s">
        <v>506</v>
      </c>
      <c r="B1153" s="385" t="s">
        <v>507</v>
      </c>
      <c r="C1153" s="385" t="s">
        <v>595</v>
      </c>
      <c r="D1153" s="385" t="s">
        <v>380</v>
      </c>
      <c r="E1153" s="385" t="s">
        <v>19</v>
      </c>
      <c r="F1153" s="385" t="s">
        <v>475</v>
      </c>
      <c r="G1153" s="385" t="s">
        <v>19</v>
      </c>
      <c r="H1153" s="386">
        <v>0</v>
      </c>
      <c r="I1153" s="386">
        <v>97850</v>
      </c>
      <c r="J1153" s="386">
        <v>0</v>
      </c>
      <c r="K1153" s="386">
        <v>97417.86</v>
      </c>
      <c r="L1153" s="387" t="s">
        <v>476</v>
      </c>
    </row>
    <row r="1154" spans="1:12" ht="38.25" hidden="1">
      <c r="A1154" s="385" t="s">
        <v>506</v>
      </c>
      <c r="B1154" s="385" t="s">
        <v>507</v>
      </c>
      <c r="C1154" s="385" t="s">
        <v>541</v>
      </c>
      <c r="D1154" s="385" t="s">
        <v>380</v>
      </c>
      <c r="E1154" s="385" t="s">
        <v>19</v>
      </c>
      <c r="F1154" s="385" t="s">
        <v>697</v>
      </c>
      <c r="G1154" s="385" t="s">
        <v>19</v>
      </c>
      <c r="H1154" s="386">
        <v>0</v>
      </c>
      <c r="I1154" s="386">
        <v>0</v>
      </c>
      <c r="J1154" s="386">
        <v>0</v>
      </c>
      <c r="K1154" s="386">
        <v>0</v>
      </c>
      <c r="L1154" s="387" t="s">
        <v>739</v>
      </c>
    </row>
    <row r="1155" spans="1:12" ht="25.5" hidden="1">
      <c r="A1155" s="385" t="s">
        <v>506</v>
      </c>
      <c r="B1155" s="385" t="s">
        <v>507</v>
      </c>
      <c r="C1155" s="385" t="s">
        <v>541</v>
      </c>
      <c r="D1155" s="385" t="s">
        <v>380</v>
      </c>
      <c r="E1155" s="385" t="s">
        <v>19</v>
      </c>
      <c r="F1155" s="385" t="s">
        <v>475</v>
      </c>
      <c r="G1155" s="385" t="s">
        <v>19</v>
      </c>
      <c r="H1155" s="386">
        <v>0</v>
      </c>
      <c r="I1155" s="386">
        <v>98500</v>
      </c>
      <c r="J1155" s="386">
        <v>0</v>
      </c>
      <c r="K1155" s="386">
        <v>0</v>
      </c>
      <c r="L1155" s="387" t="s">
        <v>476</v>
      </c>
    </row>
    <row r="1156" spans="1:12" hidden="1">
      <c r="A1156" s="385" t="s">
        <v>506</v>
      </c>
      <c r="B1156" s="385" t="s">
        <v>291</v>
      </c>
      <c r="C1156" s="385" t="s">
        <v>599</v>
      </c>
      <c r="D1156" s="385" t="s">
        <v>380</v>
      </c>
      <c r="E1156" s="385" t="s">
        <v>19</v>
      </c>
      <c r="F1156" s="385" t="s">
        <v>629</v>
      </c>
      <c r="G1156" s="385" t="s">
        <v>19</v>
      </c>
      <c r="H1156" s="386">
        <v>0</v>
      </c>
      <c r="I1156" s="386">
        <v>461993</v>
      </c>
      <c r="J1156" s="386">
        <v>0</v>
      </c>
      <c r="K1156" s="386">
        <v>315167.15999999997</v>
      </c>
      <c r="L1156" s="387" t="s">
        <v>630</v>
      </c>
    </row>
    <row r="1157" spans="1:12" hidden="1">
      <c r="A1157" s="385" t="s">
        <v>506</v>
      </c>
      <c r="B1157" s="385" t="s">
        <v>291</v>
      </c>
      <c r="C1157" s="385" t="s">
        <v>599</v>
      </c>
      <c r="D1157" s="385" t="s">
        <v>380</v>
      </c>
      <c r="E1157" s="385" t="s">
        <v>19</v>
      </c>
      <c r="F1157" s="385" t="s">
        <v>482</v>
      </c>
      <c r="G1157" s="385" t="s">
        <v>19</v>
      </c>
      <c r="H1157" s="386">
        <v>0</v>
      </c>
      <c r="I1157" s="386">
        <v>12166.74</v>
      </c>
      <c r="J1157" s="386">
        <v>0</v>
      </c>
      <c r="K1157" s="386">
        <v>9463.02</v>
      </c>
      <c r="L1157" s="387" t="s">
        <v>483</v>
      </c>
    </row>
    <row r="1158" spans="1:12" ht="38.25" hidden="1">
      <c r="A1158" s="385" t="s">
        <v>506</v>
      </c>
      <c r="B1158" s="385" t="s">
        <v>291</v>
      </c>
      <c r="C1158" s="385" t="s">
        <v>599</v>
      </c>
      <c r="D1158" s="385" t="s">
        <v>380</v>
      </c>
      <c r="E1158" s="385" t="s">
        <v>19</v>
      </c>
      <c r="F1158" s="385" t="s">
        <v>776</v>
      </c>
      <c r="G1158" s="385" t="s">
        <v>19</v>
      </c>
      <c r="H1158" s="386">
        <v>0</v>
      </c>
      <c r="I1158" s="386">
        <v>459116</v>
      </c>
      <c r="J1158" s="386">
        <v>0</v>
      </c>
      <c r="K1158" s="386">
        <v>313848.89</v>
      </c>
      <c r="L1158" s="387" t="s">
        <v>777</v>
      </c>
    </row>
    <row r="1159" spans="1:12" ht="25.5" hidden="1">
      <c r="A1159" s="385" t="s">
        <v>506</v>
      </c>
      <c r="B1159" s="385" t="s">
        <v>291</v>
      </c>
      <c r="C1159" s="385" t="s">
        <v>599</v>
      </c>
      <c r="D1159" s="385" t="s">
        <v>380</v>
      </c>
      <c r="E1159" s="385" t="s">
        <v>19</v>
      </c>
      <c r="F1159" s="385" t="s">
        <v>627</v>
      </c>
      <c r="G1159" s="385" t="s">
        <v>19</v>
      </c>
      <c r="H1159" s="386">
        <v>0</v>
      </c>
      <c r="I1159" s="386">
        <v>56699</v>
      </c>
      <c r="J1159" s="386">
        <v>0</v>
      </c>
      <c r="K1159" s="386">
        <v>34783.480000000003</v>
      </c>
      <c r="L1159" s="387" t="s">
        <v>628</v>
      </c>
    </row>
    <row r="1160" spans="1:12" ht="25.5" hidden="1">
      <c r="A1160" s="385" t="s">
        <v>506</v>
      </c>
      <c r="B1160" s="385" t="s">
        <v>291</v>
      </c>
      <c r="C1160" s="385" t="s">
        <v>521</v>
      </c>
      <c r="D1160" s="385" t="s">
        <v>380</v>
      </c>
      <c r="E1160" s="385" t="s">
        <v>19</v>
      </c>
      <c r="F1160" s="385" t="s">
        <v>468</v>
      </c>
      <c r="G1160" s="385" t="s">
        <v>19</v>
      </c>
      <c r="H1160" s="386">
        <v>0</v>
      </c>
      <c r="I1160" s="386">
        <v>1159</v>
      </c>
      <c r="J1160" s="386">
        <v>0</v>
      </c>
      <c r="K1160" s="386">
        <v>0</v>
      </c>
      <c r="L1160" s="387" t="s">
        <v>365</v>
      </c>
    </row>
    <row r="1161" spans="1:12" ht="25.5" hidden="1">
      <c r="A1161" s="385" t="s">
        <v>506</v>
      </c>
      <c r="B1161" s="385" t="s">
        <v>291</v>
      </c>
      <c r="C1161" s="385" t="s">
        <v>523</v>
      </c>
      <c r="D1161" s="385" t="s">
        <v>380</v>
      </c>
      <c r="E1161" s="385" t="s">
        <v>19</v>
      </c>
      <c r="F1161" s="385" t="s">
        <v>468</v>
      </c>
      <c r="G1161" s="385" t="s">
        <v>19</v>
      </c>
      <c r="H1161" s="386">
        <v>0</v>
      </c>
      <c r="I1161" s="386">
        <v>18000</v>
      </c>
      <c r="J1161" s="386">
        <v>0</v>
      </c>
      <c r="K1161" s="386">
        <v>12725.86</v>
      </c>
      <c r="L1161" s="387" t="s">
        <v>365</v>
      </c>
    </row>
    <row r="1162" spans="1:12" ht="25.5" hidden="1">
      <c r="A1162" s="385" t="s">
        <v>506</v>
      </c>
      <c r="B1162" s="385" t="s">
        <v>291</v>
      </c>
      <c r="C1162" s="385" t="s">
        <v>524</v>
      </c>
      <c r="D1162" s="385" t="s">
        <v>380</v>
      </c>
      <c r="E1162" s="385" t="s">
        <v>19</v>
      </c>
      <c r="F1162" s="385" t="s">
        <v>468</v>
      </c>
      <c r="G1162" s="385" t="s">
        <v>19</v>
      </c>
      <c r="H1162" s="386">
        <v>0</v>
      </c>
      <c r="I1162" s="386">
        <v>3514</v>
      </c>
      <c r="J1162" s="386">
        <v>0</v>
      </c>
      <c r="K1162" s="386">
        <v>3513.5</v>
      </c>
      <c r="L1162" s="387" t="s">
        <v>365</v>
      </c>
    </row>
    <row r="1163" spans="1:12" ht="25.5" hidden="1">
      <c r="A1163" s="385" t="s">
        <v>506</v>
      </c>
      <c r="B1163" s="385" t="s">
        <v>291</v>
      </c>
      <c r="C1163" s="385" t="s">
        <v>525</v>
      </c>
      <c r="D1163" s="385" t="s">
        <v>380</v>
      </c>
      <c r="E1163" s="385" t="s">
        <v>19</v>
      </c>
      <c r="F1163" s="385" t="s">
        <v>488</v>
      </c>
      <c r="G1163" s="385" t="s">
        <v>19</v>
      </c>
      <c r="H1163" s="386">
        <v>0</v>
      </c>
      <c r="I1163" s="386">
        <v>131</v>
      </c>
      <c r="J1163" s="386">
        <v>0</v>
      </c>
      <c r="K1163" s="386">
        <v>0</v>
      </c>
      <c r="L1163" s="387" t="s">
        <v>489</v>
      </c>
    </row>
    <row r="1164" spans="1:12" ht="25.5" hidden="1">
      <c r="A1164" s="385" t="s">
        <v>506</v>
      </c>
      <c r="B1164" s="385" t="s">
        <v>291</v>
      </c>
      <c r="C1164" s="385" t="s">
        <v>525</v>
      </c>
      <c r="D1164" s="385" t="s">
        <v>380</v>
      </c>
      <c r="E1164" s="385" t="s">
        <v>19</v>
      </c>
      <c r="F1164" s="385" t="s">
        <v>468</v>
      </c>
      <c r="G1164" s="385" t="s">
        <v>19</v>
      </c>
      <c r="H1164" s="386">
        <v>0</v>
      </c>
      <c r="I1164" s="386">
        <v>76025</v>
      </c>
      <c r="J1164" s="386">
        <v>0</v>
      </c>
      <c r="K1164" s="386">
        <v>40069.269999999997</v>
      </c>
      <c r="L1164" s="387" t="s">
        <v>365</v>
      </c>
    </row>
    <row r="1165" spans="1:12" ht="25.5" hidden="1">
      <c r="A1165" s="385" t="s">
        <v>506</v>
      </c>
      <c r="B1165" s="385" t="s">
        <v>291</v>
      </c>
      <c r="C1165" s="385" t="s">
        <v>526</v>
      </c>
      <c r="D1165" s="385" t="s">
        <v>380</v>
      </c>
      <c r="E1165" s="385" t="s">
        <v>19</v>
      </c>
      <c r="F1165" s="385" t="s">
        <v>488</v>
      </c>
      <c r="G1165" s="385" t="s">
        <v>19</v>
      </c>
      <c r="H1165" s="386">
        <v>0</v>
      </c>
      <c r="I1165" s="386">
        <v>19</v>
      </c>
      <c r="J1165" s="386">
        <v>0</v>
      </c>
      <c r="K1165" s="386">
        <v>0</v>
      </c>
      <c r="L1165" s="387" t="s">
        <v>489</v>
      </c>
    </row>
    <row r="1166" spans="1:12" ht="25.5" hidden="1">
      <c r="A1166" s="385" t="s">
        <v>506</v>
      </c>
      <c r="B1166" s="385" t="s">
        <v>291</v>
      </c>
      <c r="C1166" s="385" t="s">
        <v>526</v>
      </c>
      <c r="D1166" s="385" t="s">
        <v>380</v>
      </c>
      <c r="E1166" s="385" t="s">
        <v>19</v>
      </c>
      <c r="F1166" s="385" t="s">
        <v>468</v>
      </c>
      <c r="G1166" s="385" t="s">
        <v>19</v>
      </c>
      <c r="H1166" s="386">
        <v>0</v>
      </c>
      <c r="I1166" s="386">
        <v>8428</v>
      </c>
      <c r="J1166" s="386">
        <v>0</v>
      </c>
      <c r="K1166" s="386">
        <v>5078.33</v>
      </c>
      <c r="L1166" s="387" t="s">
        <v>365</v>
      </c>
    </row>
    <row r="1167" spans="1:12" ht="25.5" hidden="1">
      <c r="A1167" s="385" t="s">
        <v>506</v>
      </c>
      <c r="B1167" s="385" t="s">
        <v>291</v>
      </c>
      <c r="C1167" s="385" t="s">
        <v>527</v>
      </c>
      <c r="D1167" s="385" t="s">
        <v>380</v>
      </c>
      <c r="E1167" s="385" t="s">
        <v>19</v>
      </c>
      <c r="F1167" s="385" t="s">
        <v>468</v>
      </c>
      <c r="G1167" s="385" t="s">
        <v>19</v>
      </c>
      <c r="H1167" s="386">
        <v>0</v>
      </c>
      <c r="I1167" s="386">
        <v>15596</v>
      </c>
      <c r="J1167" s="386">
        <v>0</v>
      </c>
      <c r="K1167" s="386">
        <v>12365</v>
      </c>
      <c r="L1167" s="387" t="s">
        <v>365</v>
      </c>
    </row>
    <row r="1168" spans="1:12" ht="25.5" hidden="1">
      <c r="A1168" s="385" t="s">
        <v>506</v>
      </c>
      <c r="B1168" s="385" t="s">
        <v>291</v>
      </c>
      <c r="C1168" s="385" t="s">
        <v>528</v>
      </c>
      <c r="D1168" s="385" t="s">
        <v>380</v>
      </c>
      <c r="E1168" s="385" t="s">
        <v>19</v>
      </c>
      <c r="F1168" s="385" t="s">
        <v>468</v>
      </c>
      <c r="G1168" s="385" t="s">
        <v>19</v>
      </c>
      <c r="H1168" s="386">
        <v>0</v>
      </c>
      <c r="I1168" s="386">
        <v>14679</v>
      </c>
      <c r="J1168" s="386">
        <v>0</v>
      </c>
      <c r="K1168" s="386">
        <v>8400.24</v>
      </c>
      <c r="L1168" s="387" t="s">
        <v>365</v>
      </c>
    </row>
    <row r="1169" spans="1:12" ht="25.5" hidden="1">
      <c r="A1169" s="385" t="s">
        <v>506</v>
      </c>
      <c r="B1169" s="385" t="s">
        <v>291</v>
      </c>
      <c r="C1169" s="385" t="s">
        <v>598</v>
      </c>
      <c r="D1169" s="385" t="s">
        <v>380</v>
      </c>
      <c r="E1169" s="385" t="s">
        <v>19</v>
      </c>
      <c r="F1169" s="385" t="s">
        <v>468</v>
      </c>
      <c r="G1169" s="385" t="s">
        <v>19</v>
      </c>
      <c r="H1169" s="386">
        <v>0</v>
      </c>
      <c r="I1169" s="386">
        <v>10000</v>
      </c>
      <c r="J1169" s="386">
        <v>0</v>
      </c>
      <c r="K1169" s="386">
        <v>585.72</v>
      </c>
      <c r="L1169" s="387" t="s">
        <v>365</v>
      </c>
    </row>
    <row r="1170" spans="1:12" ht="25.5" hidden="1">
      <c r="A1170" s="385" t="s">
        <v>506</v>
      </c>
      <c r="B1170" s="385" t="s">
        <v>291</v>
      </c>
      <c r="C1170" s="385" t="s">
        <v>530</v>
      </c>
      <c r="D1170" s="385" t="s">
        <v>380</v>
      </c>
      <c r="E1170" s="385" t="s">
        <v>19</v>
      </c>
      <c r="F1170" s="385" t="s">
        <v>468</v>
      </c>
      <c r="G1170" s="385" t="s">
        <v>19</v>
      </c>
      <c r="H1170" s="386">
        <v>0</v>
      </c>
      <c r="I1170" s="386">
        <v>32000</v>
      </c>
      <c r="J1170" s="386">
        <v>0</v>
      </c>
      <c r="K1170" s="386">
        <v>17403.16</v>
      </c>
      <c r="L1170" s="387" t="s">
        <v>365</v>
      </c>
    </row>
    <row r="1171" spans="1:12" ht="25.5" hidden="1">
      <c r="A1171" s="385" t="s">
        <v>506</v>
      </c>
      <c r="B1171" s="385" t="s">
        <v>291</v>
      </c>
      <c r="C1171" s="385" t="s">
        <v>531</v>
      </c>
      <c r="D1171" s="385" t="s">
        <v>380</v>
      </c>
      <c r="E1171" s="385" t="s">
        <v>19</v>
      </c>
      <c r="F1171" s="385" t="s">
        <v>468</v>
      </c>
      <c r="G1171" s="385" t="s">
        <v>19</v>
      </c>
      <c r="H1171" s="386">
        <v>0</v>
      </c>
      <c r="I1171" s="386">
        <v>600</v>
      </c>
      <c r="J1171" s="386">
        <v>0</v>
      </c>
      <c r="K1171" s="386">
        <v>172</v>
      </c>
      <c r="L1171" s="387" t="s">
        <v>365</v>
      </c>
    </row>
    <row r="1172" spans="1:12" ht="25.5" hidden="1">
      <c r="A1172" s="385" t="s">
        <v>506</v>
      </c>
      <c r="B1172" s="385" t="s">
        <v>291</v>
      </c>
      <c r="C1172" s="385" t="s">
        <v>510</v>
      </c>
      <c r="D1172" s="385" t="s">
        <v>380</v>
      </c>
      <c r="E1172" s="385" t="s">
        <v>19</v>
      </c>
      <c r="F1172" s="385" t="s">
        <v>468</v>
      </c>
      <c r="G1172" s="385" t="s">
        <v>19</v>
      </c>
      <c r="H1172" s="386">
        <v>0</v>
      </c>
      <c r="I1172" s="386">
        <v>30064</v>
      </c>
      <c r="J1172" s="386">
        <v>0</v>
      </c>
      <c r="K1172" s="386">
        <v>9598.61</v>
      </c>
      <c r="L1172" s="387" t="s">
        <v>365</v>
      </c>
    </row>
    <row r="1173" spans="1:12" ht="25.5" hidden="1">
      <c r="A1173" s="385" t="s">
        <v>506</v>
      </c>
      <c r="B1173" s="385" t="s">
        <v>291</v>
      </c>
      <c r="C1173" s="385" t="s">
        <v>532</v>
      </c>
      <c r="D1173" s="385" t="s">
        <v>380</v>
      </c>
      <c r="E1173" s="385" t="s">
        <v>19</v>
      </c>
      <c r="F1173" s="385" t="s">
        <v>468</v>
      </c>
      <c r="G1173" s="385" t="s">
        <v>19</v>
      </c>
      <c r="H1173" s="386">
        <v>0</v>
      </c>
      <c r="I1173" s="386">
        <v>2000</v>
      </c>
      <c r="J1173" s="386">
        <v>0</v>
      </c>
      <c r="K1173" s="386">
        <v>1282.8499999999999</v>
      </c>
      <c r="L1173" s="387" t="s">
        <v>365</v>
      </c>
    </row>
    <row r="1174" spans="1:12" ht="25.5" hidden="1">
      <c r="A1174" s="385" t="s">
        <v>506</v>
      </c>
      <c r="B1174" s="385" t="s">
        <v>291</v>
      </c>
      <c r="C1174" s="385" t="s">
        <v>533</v>
      </c>
      <c r="D1174" s="385" t="s">
        <v>380</v>
      </c>
      <c r="E1174" s="385" t="s">
        <v>19</v>
      </c>
      <c r="F1174" s="385" t="s">
        <v>468</v>
      </c>
      <c r="G1174" s="385" t="s">
        <v>19</v>
      </c>
      <c r="H1174" s="386">
        <v>0</v>
      </c>
      <c r="I1174" s="386">
        <v>500</v>
      </c>
      <c r="J1174" s="386">
        <v>0</v>
      </c>
      <c r="K1174" s="386">
        <v>0</v>
      </c>
      <c r="L1174" s="387" t="s">
        <v>365</v>
      </c>
    </row>
    <row r="1175" spans="1:12" ht="25.5" hidden="1">
      <c r="A1175" s="385" t="s">
        <v>506</v>
      </c>
      <c r="B1175" s="385" t="s">
        <v>291</v>
      </c>
      <c r="C1175" s="385" t="s">
        <v>535</v>
      </c>
      <c r="D1175" s="385" t="s">
        <v>380</v>
      </c>
      <c r="E1175" s="385" t="s">
        <v>19</v>
      </c>
      <c r="F1175" s="385" t="s">
        <v>468</v>
      </c>
      <c r="G1175" s="385" t="s">
        <v>19</v>
      </c>
      <c r="H1175" s="386">
        <v>0</v>
      </c>
      <c r="I1175" s="386">
        <v>20034</v>
      </c>
      <c r="J1175" s="386">
        <v>0</v>
      </c>
      <c r="K1175" s="386">
        <v>15026</v>
      </c>
      <c r="L1175" s="387" t="s">
        <v>365</v>
      </c>
    </row>
    <row r="1176" spans="1:12" ht="25.5" hidden="1">
      <c r="A1176" s="385" t="s">
        <v>506</v>
      </c>
      <c r="B1176" s="385" t="s">
        <v>291</v>
      </c>
      <c r="C1176" s="385" t="s">
        <v>540</v>
      </c>
      <c r="D1176" s="385" t="s">
        <v>380</v>
      </c>
      <c r="E1176" s="385" t="s">
        <v>19</v>
      </c>
      <c r="F1176" s="385" t="s">
        <v>468</v>
      </c>
      <c r="G1176" s="385" t="s">
        <v>19</v>
      </c>
      <c r="H1176" s="386">
        <v>0</v>
      </c>
      <c r="I1176" s="386">
        <v>600</v>
      </c>
      <c r="J1176" s="386">
        <v>0</v>
      </c>
      <c r="K1176" s="386">
        <v>74.63</v>
      </c>
      <c r="L1176" s="387" t="s">
        <v>365</v>
      </c>
    </row>
    <row r="1177" spans="1:12" ht="25.5" hidden="1">
      <c r="A1177" s="385" t="s">
        <v>506</v>
      </c>
      <c r="B1177" s="385" t="s">
        <v>291</v>
      </c>
      <c r="C1177" s="385" t="s">
        <v>594</v>
      </c>
      <c r="D1177" s="385" t="s">
        <v>380</v>
      </c>
      <c r="E1177" s="385" t="s">
        <v>19</v>
      </c>
      <c r="F1177" s="385" t="s">
        <v>468</v>
      </c>
      <c r="G1177" s="385" t="s">
        <v>19</v>
      </c>
      <c r="H1177" s="386">
        <v>0</v>
      </c>
      <c r="I1177" s="386">
        <v>390765</v>
      </c>
      <c r="J1177" s="386">
        <v>0</v>
      </c>
      <c r="K1177" s="386">
        <v>225878.83</v>
      </c>
      <c r="L1177" s="387" t="s">
        <v>365</v>
      </c>
    </row>
    <row r="1178" spans="1:12" ht="25.5" hidden="1">
      <c r="A1178" s="385" t="s">
        <v>506</v>
      </c>
      <c r="B1178" s="385" t="s">
        <v>291</v>
      </c>
      <c r="C1178" s="385" t="s">
        <v>594</v>
      </c>
      <c r="D1178" s="385" t="s">
        <v>380</v>
      </c>
      <c r="E1178" s="385" t="s">
        <v>19</v>
      </c>
      <c r="F1178" s="385" t="s">
        <v>488</v>
      </c>
      <c r="G1178" s="385" t="s">
        <v>19</v>
      </c>
      <c r="H1178" s="386">
        <v>0</v>
      </c>
      <c r="I1178" s="386">
        <v>765</v>
      </c>
      <c r="J1178" s="386">
        <v>0</v>
      </c>
      <c r="K1178" s="386">
        <v>0</v>
      </c>
      <c r="L1178" s="387" t="s">
        <v>489</v>
      </c>
    </row>
    <row r="1179" spans="1:12" ht="25.5" hidden="1">
      <c r="A1179" s="385" t="s">
        <v>506</v>
      </c>
      <c r="B1179" s="385" t="s">
        <v>291</v>
      </c>
      <c r="C1179" s="385" t="s">
        <v>595</v>
      </c>
      <c r="D1179" s="385" t="s">
        <v>380</v>
      </c>
      <c r="E1179" s="385" t="s">
        <v>19</v>
      </c>
      <c r="F1179" s="385" t="s">
        <v>468</v>
      </c>
      <c r="G1179" s="385" t="s">
        <v>19</v>
      </c>
      <c r="H1179" s="386">
        <v>0</v>
      </c>
      <c r="I1179" s="386">
        <v>26331</v>
      </c>
      <c r="J1179" s="386">
        <v>0</v>
      </c>
      <c r="K1179" s="386">
        <v>26330.05</v>
      </c>
      <c r="L1179" s="387" t="s">
        <v>365</v>
      </c>
    </row>
    <row r="1180" spans="1:12" ht="25.5" hidden="1">
      <c r="A1180" s="385" t="s">
        <v>506</v>
      </c>
      <c r="B1180" s="385" t="s">
        <v>508</v>
      </c>
      <c r="C1180" s="385" t="s">
        <v>521</v>
      </c>
      <c r="D1180" s="385" t="s">
        <v>380</v>
      </c>
      <c r="E1180" s="385" t="s">
        <v>19</v>
      </c>
      <c r="F1180" s="385" t="s">
        <v>468</v>
      </c>
      <c r="G1180" s="385" t="s">
        <v>19</v>
      </c>
      <c r="H1180" s="386">
        <v>0</v>
      </c>
      <c r="I1180" s="386">
        <v>500</v>
      </c>
      <c r="J1180" s="386">
        <v>0</v>
      </c>
      <c r="K1180" s="386">
        <v>458.01</v>
      </c>
      <c r="L1180" s="387" t="s">
        <v>365</v>
      </c>
    </row>
    <row r="1181" spans="1:12" hidden="1">
      <c r="A1181" s="385" t="s">
        <v>506</v>
      </c>
      <c r="B1181" s="385" t="s">
        <v>508</v>
      </c>
      <c r="C1181" s="385" t="s">
        <v>521</v>
      </c>
      <c r="D1181" s="385" t="s">
        <v>380</v>
      </c>
      <c r="E1181" s="385" t="s">
        <v>19</v>
      </c>
      <c r="F1181" s="385" t="s">
        <v>461</v>
      </c>
      <c r="G1181" s="385" t="s">
        <v>19</v>
      </c>
      <c r="H1181" s="386">
        <v>0</v>
      </c>
      <c r="I1181" s="386">
        <v>500</v>
      </c>
      <c r="J1181" s="386">
        <v>0</v>
      </c>
      <c r="K1181" s="386">
        <v>0</v>
      </c>
      <c r="L1181" s="387" t="s">
        <v>462</v>
      </c>
    </row>
    <row r="1182" spans="1:12" ht="25.5" hidden="1">
      <c r="A1182" s="385" t="s">
        <v>506</v>
      </c>
      <c r="B1182" s="385" t="s">
        <v>508</v>
      </c>
      <c r="C1182" s="385" t="s">
        <v>523</v>
      </c>
      <c r="D1182" s="385" t="s">
        <v>380</v>
      </c>
      <c r="E1182" s="385" t="s">
        <v>19</v>
      </c>
      <c r="F1182" s="385" t="s">
        <v>468</v>
      </c>
      <c r="G1182" s="385" t="s">
        <v>19</v>
      </c>
      <c r="H1182" s="386">
        <v>0</v>
      </c>
      <c r="I1182" s="386">
        <v>307951</v>
      </c>
      <c r="J1182" s="386">
        <v>0</v>
      </c>
      <c r="K1182" s="386">
        <v>181594.38</v>
      </c>
      <c r="L1182" s="387" t="s">
        <v>365</v>
      </c>
    </row>
    <row r="1183" spans="1:12" hidden="1">
      <c r="A1183" s="385" t="s">
        <v>506</v>
      </c>
      <c r="B1183" s="385" t="s">
        <v>508</v>
      </c>
      <c r="C1183" s="385" t="s">
        <v>523</v>
      </c>
      <c r="D1183" s="385" t="s">
        <v>380</v>
      </c>
      <c r="E1183" s="385" t="s">
        <v>19</v>
      </c>
      <c r="F1183" s="385" t="s">
        <v>461</v>
      </c>
      <c r="G1183" s="385" t="s">
        <v>19</v>
      </c>
      <c r="H1183" s="386">
        <v>0</v>
      </c>
      <c r="I1183" s="386">
        <v>232270.8</v>
      </c>
      <c r="J1183" s="386">
        <v>0</v>
      </c>
      <c r="K1183" s="386">
        <v>205373.77</v>
      </c>
      <c r="L1183" s="387" t="s">
        <v>462</v>
      </c>
    </row>
    <row r="1184" spans="1:12" ht="25.5" hidden="1">
      <c r="A1184" s="385" t="s">
        <v>506</v>
      </c>
      <c r="B1184" s="385" t="s">
        <v>508</v>
      </c>
      <c r="C1184" s="385" t="s">
        <v>523</v>
      </c>
      <c r="D1184" s="385" t="s">
        <v>380</v>
      </c>
      <c r="E1184" s="385" t="s">
        <v>19</v>
      </c>
      <c r="F1184" s="385" t="s">
        <v>488</v>
      </c>
      <c r="G1184" s="385" t="s">
        <v>19</v>
      </c>
      <c r="H1184" s="386">
        <v>0</v>
      </c>
      <c r="I1184" s="386">
        <v>59660.2</v>
      </c>
      <c r="J1184" s="386">
        <v>0</v>
      </c>
      <c r="K1184" s="386">
        <v>0</v>
      </c>
      <c r="L1184" s="387" t="s">
        <v>489</v>
      </c>
    </row>
    <row r="1185" spans="1:12" hidden="1">
      <c r="A1185" s="385" t="s">
        <v>506</v>
      </c>
      <c r="B1185" s="385" t="s">
        <v>508</v>
      </c>
      <c r="C1185" s="385" t="s">
        <v>523</v>
      </c>
      <c r="D1185" s="385" t="s">
        <v>380</v>
      </c>
      <c r="E1185" s="385" t="s">
        <v>19</v>
      </c>
      <c r="F1185" s="385" t="s">
        <v>386</v>
      </c>
      <c r="G1185" s="385" t="s">
        <v>19</v>
      </c>
      <c r="H1185" s="386">
        <v>0</v>
      </c>
      <c r="I1185" s="386">
        <v>128012</v>
      </c>
      <c r="J1185" s="386">
        <v>0</v>
      </c>
      <c r="K1185" s="386">
        <v>0</v>
      </c>
      <c r="L1185" s="387" t="s">
        <v>387</v>
      </c>
    </row>
    <row r="1186" spans="1:12" ht="25.5" hidden="1">
      <c r="A1186" s="385" t="s">
        <v>506</v>
      </c>
      <c r="B1186" s="385" t="s">
        <v>508</v>
      </c>
      <c r="C1186" s="385" t="s">
        <v>524</v>
      </c>
      <c r="D1186" s="385" t="s">
        <v>380</v>
      </c>
      <c r="E1186" s="385" t="s">
        <v>19</v>
      </c>
      <c r="F1186" s="385" t="s">
        <v>468</v>
      </c>
      <c r="G1186" s="385" t="s">
        <v>19</v>
      </c>
      <c r="H1186" s="386">
        <v>0</v>
      </c>
      <c r="I1186" s="386">
        <v>20089</v>
      </c>
      <c r="J1186" s="386">
        <v>0</v>
      </c>
      <c r="K1186" s="386">
        <v>20088.82</v>
      </c>
      <c r="L1186" s="387" t="s">
        <v>365</v>
      </c>
    </row>
    <row r="1187" spans="1:12" hidden="1">
      <c r="A1187" s="385" t="s">
        <v>506</v>
      </c>
      <c r="B1187" s="385" t="s">
        <v>508</v>
      </c>
      <c r="C1187" s="385" t="s">
        <v>524</v>
      </c>
      <c r="D1187" s="385" t="s">
        <v>380</v>
      </c>
      <c r="E1187" s="385" t="s">
        <v>19</v>
      </c>
      <c r="F1187" s="385" t="s">
        <v>461</v>
      </c>
      <c r="G1187" s="385" t="s">
        <v>19</v>
      </c>
      <c r="H1187" s="386">
        <v>0</v>
      </c>
      <c r="I1187" s="386">
        <v>19815</v>
      </c>
      <c r="J1187" s="386">
        <v>0</v>
      </c>
      <c r="K1187" s="386">
        <v>19479</v>
      </c>
      <c r="L1187" s="387" t="s">
        <v>462</v>
      </c>
    </row>
    <row r="1188" spans="1:12" ht="25.5" hidden="1">
      <c r="A1188" s="385" t="s">
        <v>506</v>
      </c>
      <c r="B1188" s="385" t="s">
        <v>508</v>
      </c>
      <c r="C1188" s="385" t="s">
        <v>525</v>
      </c>
      <c r="D1188" s="385" t="s">
        <v>380</v>
      </c>
      <c r="E1188" s="385" t="s">
        <v>19</v>
      </c>
      <c r="F1188" s="385" t="s">
        <v>468</v>
      </c>
      <c r="G1188" s="385" t="s">
        <v>19</v>
      </c>
      <c r="H1188" s="386">
        <v>0</v>
      </c>
      <c r="I1188" s="386">
        <v>252849</v>
      </c>
      <c r="J1188" s="386">
        <v>0</v>
      </c>
      <c r="K1188" s="386">
        <v>146665.26999999999</v>
      </c>
      <c r="L1188" s="387" t="s">
        <v>365</v>
      </c>
    </row>
    <row r="1189" spans="1:12" hidden="1">
      <c r="A1189" s="385" t="s">
        <v>506</v>
      </c>
      <c r="B1189" s="385" t="s">
        <v>508</v>
      </c>
      <c r="C1189" s="385" t="s">
        <v>525</v>
      </c>
      <c r="D1189" s="385" t="s">
        <v>380</v>
      </c>
      <c r="E1189" s="385" t="s">
        <v>19</v>
      </c>
      <c r="F1189" s="385" t="s">
        <v>461</v>
      </c>
      <c r="G1189" s="385" t="s">
        <v>19</v>
      </c>
      <c r="H1189" s="386">
        <v>0</v>
      </c>
      <c r="I1189" s="386">
        <v>208304</v>
      </c>
      <c r="J1189" s="386">
        <v>0</v>
      </c>
      <c r="K1189" s="386">
        <v>123287.29</v>
      </c>
      <c r="L1189" s="387" t="s">
        <v>462</v>
      </c>
    </row>
    <row r="1190" spans="1:12" ht="25.5" hidden="1">
      <c r="A1190" s="385" t="s">
        <v>506</v>
      </c>
      <c r="B1190" s="385" t="s">
        <v>508</v>
      </c>
      <c r="C1190" s="385" t="s">
        <v>525</v>
      </c>
      <c r="D1190" s="385" t="s">
        <v>380</v>
      </c>
      <c r="E1190" s="385" t="s">
        <v>19</v>
      </c>
      <c r="F1190" s="385" t="s">
        <v>488</v>
      </c>
      <c r="G1190" s="385" t="s">
        <v>19</v>
      </c>
      <c r="H1190" s="386">
        <v>0</v>
      </c>
      <c r="I1190" s="386">
        <v>645</v>
      </c>
      <c r="J1190" s="386">
        <v>0</v>
      </c>
      <c r="K1190" s="386">
        <v>0</v>
      </c>
      <c r="L1190" s="387" t="s">
        <v>489</v>
      </c>
    </row>
    <row r="1191" spans="1:12" ht="25.5" hidden="1">
      <c r="A1191" s="385" t="s">
        <v>506</v>
      </c>
      <c r="B1191" s="385" t="s">
        <v>508</v>
      </c>
      <c r="C1191" s="385" t="s">
        <v>526</v>
      </c>
      <c r="D1191" s="385" t="s">
        <v>380</v>
      </c>
      <c r="E1191" s="385" t="s">
        <v>19</v>
      </c>
      <c r="F1191" s="385" t="s">
        <v>468</v>
      </c>
      <c r="G1191" s="385" t="s">
        <v>19</v>
      </c>
      <c r="H1191" s="386">
        <v>0</v>
      </c>
      <c r="I1191" s="386">
        <v>26782</v>
      </c>
      <c r="J1191" s="386">
        <v>0</v>
      </c>
      <c r="K1191" s="386">
        <v>15203.24</v>
      </c>
      <c r="L1191" s="387" t="s">
        <v>365</v>
      </c>
    </row>
    <row r="1192" spans="1:12" hidden="1">
      <c r="A1192" s="385" t="s">
        <v>506</v>
      </c>
      <c r="B1192" s="385" t="s">
        <v>508</v>
      </c>
      <c r="C1192" s="385" t="s">
        <v>526</v>
      </c>
      <c r="D1192" s="385" t="s">
        <v>380</v>
      </c>
      <c r="E1192" s="385" t="s">
        <v>19</v>
      </c>
      <c r="F1192" s="385" t="s">
        <v>461</v>
      </c>
      <c r="G1192" s="385" t="s">
        <v>19</v>
      </c>
      <c r="H1192" s="386">
        <v>0</v>
      </c>
      <c r="I1192" s="386">
        <v>21500</v>
      </c>
      <c r="J1192" s="386">
        <v>0</v>
      </c>
      <c r="K1192" s="386">
        <v>13200.9</v>
      </c>
      <c r="L1192" s="387" t="s">
        <v>462</v>
      </c>
    </row>
    <row r="1193" spans="1:12" ht="25.5" hidden="1">
      <c r="A1193" s="385" t="s">
        <v>506</v>
      </c>
      <c r="B1193" s="385" t="s">
        <v>508</v>
      </c>
      <c r="C1193" s="385" t="s">
        <v>526</v>
      </c>
      <c r="D1193" s="385" t="s">
        <v>380</v>
      </c>
      <c r="E1193" s="385" t="s">
        <v>19</v>
      </c>
      <c r="F1193" s="385" t="s">
        <v>488</v>
      </c>
      <c r="G1193" s="385" t="s">
        <v>19</v>
      </c>
      <c r="H1193" s="386">
        <v>0</v>
      </c>
      <c r="I1193" s="386">
        <v>93</v>
      </c>
      <c r="J1193" s="386">
        <v>0</v>
      </c>
      <c r="K1193" s="386">
        <v>0</v>
      </c>
      <c r="L1193" s="387" t="s">
        <v>489</v>
      </c>
    </row>
    <row r="1194" spans="1:12" ht="25.5" hidden="1">
      <c r="A1194" s="385" t="s">
        <v>506</v>
      </c>
      <c r="B1194" s="385" t="s">
        <v>508</v>
      </c>
      <c r="C1194" s="385" t="s">
        <v>527</v>
      </c>
      <c r="D1194" s="385" t="s">
        <v>380</v>
      </c>
      <c r="E1194" s="385" t="s">
        <v>19</v>
      </c>
      <c r="F1194" s="385" t="s">
        <v>468</v>
      </c>
      <c r="G1194" s="385" t="s">
        <v>19</v>
      </c>
      <c r="H1194" s="386">
        <v>0</v>
      </c>
      <c r="I1194" s="386">
        <v>3000</v>
      </c>
      <c r="J1194" s="386">
        <v>0</v>
      </c>
      <c r="K1194" s="386">
        <v>615</v>
      </c>
      <c r="L1194" s="387" t="s">
        <v>365</v>
      </c>
    </row>
    <row r="1195" spans="1:12" ht="25.5" hidden="1">
      <c r="A1195" s="385" t="s">
        <v>506</v>
      </c>
      <c r="B1195" s="385" t="s">
        <v>508</v>
      </c>
      <c r="C1195" s="385" t="s">
        <v>528</v>
      </c>
      <c r="D1195" s="385" t="s">
        <v>380</v>
      </c>
      <c r="E1195" s="385" t="s">
        <v>19</v>
      </c>
      <c r="F1195" s="385" t="s">
        <v>468</v>
      </c>
      <c r="G1195" s="385" t="s">
        <v>19</v>
      </c>
      <c r="H1195" s="386">
        <v>0</v>
      </c>
      <c r="I1195" s="386">
        <v>15442</v>
      </c>
      <c r="J1195" s="386">
        <v>0</v>
      </c>
      <c r="K1195" s="386">
        <v>12459.25</v>
      </c>
      <c r="L1195" s="387" t="s">
        <v>365</v>
      </c>
    </row>
    <row r="1196" spans="1:12" hidden="1">
      <c r="A1196" s="385" t="s">
        <v>506</v>
      </c>
      <c r="B1196" s="385" t="s">
        <v>508</v>
      </c>
      <c r="C1196" s="385" t="s">
        <v>528</v>
      </c>
      <c r="D1196" s="385" t="s">
        <v>380</v>
      </c>
      <c r="E1196" s="385" t="s">
        <v>19</v>
      </c>
      <c r="F1196" s="385" t="s">
        <v>461</v>
      </c>
      <c r="G1196" s="385" t="s">
        <v>19</v>
      </c>
      <c r="H1196" s="386">
        <v>0</v>
      </c>
      <c r="I1196" s="386">
        <v>22738</v>
      </c>
      <c r="J1196" s="386">
        <v>0</v>
      </c>
      <c r="K1196" s="386">
        <v>4856.22</v>
      </c>
      <c r="L1196" s="387" t="s">
        <v>462</v>
      </c>
    </row>
    <row r="1197" spans="1:12" ht="25.5" hidden="1">
      <c r="A1197" s="385" t="s">
        <v>506</v>
      </c>
      <c r="B1197" s="385" t="s">
        <v>508</v>
      </c>
      <c r="C1197" s="385" t="s">
        <v>598</v>
      </c>
      <c r="D1197" s="385" t="s">
        <v>380</v>
      </c>
      <c r="E1197" s="385" t="s">
        <v>19</v>
      </c>
      <c r="F1197" s="385" t="s">
        <v>468</v>
      </c>
      <c r="G1197" s="385" t="s">
        <v>19</v>
      </c>
      <c r="H1197" s="386">
        <v>0</v>
      </c>
      <c r="I1197" s="386">
        <v>5252</v>
      </c>
      <c r="J1197" s="386">
        <v>0</v>
      </c>
      <c r="K1197" s="386">
        <v>5239.1000000000004</v>
      </c>
      <c r="L1197" s="387" t="s">
        <v>365</v>
      </c>
    </row>
    <row r="1198" spans="1:12" hidden="1">
      <c r="A1198" s="385" t="s">
        <v>506</v>
      </c>
      <c r="B1198" s="385" t="s">
        <v>508</v>
      </c>
      <c r="C1198" s="385" t="s">
        <v>598</v>
      </c>
      <c r="D1198" s="385" t="s">
        <v>380</v>
      </c>
      <c r="E1198" s="385" t="s">
        <v>19</v>
      </c>
      <c r="F1198" s="385" t="s">
        <v>461</v>
      </c>
      <c r="G1198" s="385" t="s">
        <v>19</v>
      </c>
      <c r="H1198" s="386">
        <v>0</v>
      </c>
      <c r="I1198" s="386">
        <v>4000</v>
      </c>
      <c r="J1198" s="386">
        <v>0</v>
      </c>
      <c r="K1198" s="386">
        <v>1910.66</v>
      </c>
      <c r="L1198" s="387" t="s">
        <v>462</v>
      </c>
    </row>
    <row r="1199" spans="1:12" hidden="1">
      <c r="A1199" s="385" t="s">
        <v>506</v>
      </c>
      <c r="B1199" s="385" t="s">
        <v>508</v>
      </c>
      <c r="C1199" s="385" t="s">
        <v>530</v>
      </c>
      <c r="D1199" s="385" t="s">
        <v>380</v>
      </c>
      <c r="E1199" s="385" t="s">
        <v>19</v>
      </c>
      <c r="F1199" s="385" t="s">
        <v>386</v>
      </c>
      <c r="G1199" s="385" t="s">
        <v>19</v>
      </c>
      <c r="H1199" s="386">
        <v>0</v>
      </c>
      <c r="I1199" s="386">
        <v>0</v>
      </c>
      <c r="J1199" s="386">
        <v>0</v>
      </c>
      <c r="K1199" s="386">
        <v>0</v>
      </c>
      <c r="L1199" s="387" t="s">
        <v>387</v>
      </c>
    </row>
    <row r="1200" spans="1:12" ht="25.5" hidden="1">
      <c r="A1200" s="385" t="s">
        <v>506</v>
      </c>
      <c r="B1200" s="385" t="s">
        <v>508</v>
      </c>
      <c r="C1200" s="385" t="s">
        <v>530</v>
      </c>
      <c r="D1200" s="385" t="s">
        <v>380</v>
      </c>
      <c r="E1200" s="385" t="s">
        <v>19</v>
      </c>
      <c r="F1200" s="385" t="s">
        <v>468</v>
      </c>
      <c r="G1200" s="385" t="s">
        <v>19</v>
      </c>
      <c r="H1200" s="386">
        <v>0</v>
      </c>
      <c r="I1200" s="386">
        <v>30000</v>
      </c>
      <c r="J1200" s="386">
        <v>0</v>
      </c>
      <c r="K1200" s="386">
        <v>17031.98</v>
      </c>
      <c r="L1200" s="387" t="s">
        <v>365</v>
      </c>
    </row>
    <row r="1201" spans="1:12" hidden="1">
      <c r="A1201" s="385" t="s">
        <v>506</v>
      </c>
      <c r="B1201" s="385" t="s">
        <v>508</v>
      </c>
      <c r="C1201" s="385" t="s">
        <v>530</v>
      </c>
      <c r="D1201" s="385" t="s">
        <v>380</v>
      </c>
      <c r="E1201" s="385" t="s">
        <v>19</v>
      </c>
      <c r="F1201" s="385" t="s">
        <v>461</v>
      </c>
      <c r="G1201" s="385" t="s">
        <v>19</v>
      </c>
      <c r="H1201" s="386">
        <v>0</v>
      </c>
      <c r="I1201" s="386">
        <v>30400</v>
      </c>
      <c r="J1201" s="386">
        <v>0</v>
      </c>
      <c r="K1201" s="386">
        <v>19361.09</v>
      </c>
      <c r="L1201" s="387" t="s">
        <v>462</v>
      </c>
    </row>
    <row r="1202" spans="1:12" ht="25.5" hidden="1">
      <c r="A1202" s="385" t="s">
        <v>506</v>
      </c>
      <c r="B1202" s="385" t="s">
        <v>508</v>
      </c>
      <c r="C1202" s="385" t="s">
        <v>531</v>
      </c>
      <c r="D1202" s="385" t="s">
        <v>380</v>
      </c>
      <c r="E1202" s="385" t="s">
        <v>19</v>
      </c>
      <c r="F1202" s="385" t="s">
        <v>468</v>
      </c>
      <c r="G1202" s="385" t="s">
        <v>19</v>
      </c>
      <c r="H1202" s="386">
        <v>0</v>
      </c>
      <c r="I1202" s="386">
        <v>700</v>
      </c>
      <c r="J1202" s="386">
        <v>0</v>
      </c>
      <c r="K1202" s="386">
        <v>220</v>
      </c>
      <c r="L1202" s="387" t="s">
        <v>365</v>
      </c>
    </row>
    <row r="1203" spans="1:12" ht="25.5" hidden="1">
      <c r="A1203" s="385" t="s">
        <v>506</v>
      </c>
      <c r="B1203" s="385" t="s">
        <v>508</v>
      </c>
      <c r="C1203" s="385" t="s">
        <v>510</v>
      </c>
      <c r="D1203" s="385" t="s">
        <v>380</v>
      </c>
      <c r="E1203" s="385" t="s">
        <v>19</v>
      </c>
      <c r="F1203" s="385" t="s">
        <v>468</v>
      </c>
      <c r="G1203" s="385" t="s">
        <v>19</v>
      </c>
      <c r="H1203" s="386">
        <v>0</v>
      </c>
      <c r="I1203" s="386">
        <v>23000</v>
      </c>
      <c r="J1203" s="386">
        <v>0</v>
      </c>
      <c r="K1203" s="386">
        <v>10305.93</v>
      </c>
      <c r="L1203" s="387" t="s">
        <v>365</v>
      </c>
    </row>
    <row r="1204" spans="1:12" hidden="1">
      <c r="A1204" s="385" t="s">
        <v>506</v>
      </c>
      <c r="B1204" s="385" t="s">
        <v>508</v>
      </c>
      <c r="C1204" s="385" t="s">
        <v>510</v>
      </c>
      <c r="D1204" s="385" t="s">
        <v>380</v>
      </c>
      <c r="E1204" s="385" t="s">
        <v>19</v>
      </c>
      <c r="F1204" s="385" t="s">
        <v>461</v>
      </c>
      <c r="G1204" s="385" t="s">
        <v>19</v>
      </c>
      <c r="H1204" s="386">
        <v>0</v>
      </c>
      <c r="I1204" s="386">
        <v>24000</v>
      </c>
      <c r="J1204" s="386">
        <v>0</v>
      </c>
      <c r="K1204" s="386">
        <v>10489.65</v>
      </c>
      <c r="L1204" s="387" t="s">
        <v>462</v>
      </c>
    </row>
    <row r="1205" spans="1:12" ht="25.5" hidden="1">
      <c r="A1205" s="385" t="s">
        <v>506</v>
      </c>
      <c r="B1205" s="385" t="s">
        <v>508</v>
      </c>
      <c r="C1205" s="385" t="s">
        <v>532</v>
      </c>
      <c r="D1205" s="385" t="s">
        <v>380</v>
      </c>
      <c r="E1205" s="385" t="s">
        <v>19</v>
      </c>
      <c r="F1205" s="385" t="s">
        <v>468</v>
      </c>
      <c r="G1205" s="385" t="s">
        <v>19</v>
      </c>
      <c r="H1205" s="386">
        <v>0</v>
      </c>
      <c r="I1205" s="386">
        <v>2000</v>
      </c>
      <c r="J1205" s="386">
        <v>0</v>
      </c>
      <c r="K1205" s="386">
        <v>1252.79</v>
      </c>
      <c r="L1205" s="387" t="s">
        <v>365</v>
      </c>
    </row>
    <row r="1206" spans="1:12" hidden="1">
      <c r="A1206" s="385" t="s">
        <v>506</v>
      </c>
      <c r="B1206" s="385" t="s">
        <v>508</v>
      </c>
      <c r="C1206" s="385" t="s">
        <v>532</v>
      </c>
      <c r="D1206" s="385" t="s">
        <v>380</v>
      </c>
      <c r="E1206" s="385" t="s">
        <v>19</v>
      </c>
      <c r="F1206" s="385" t="s">
        <v>461</v>
      </c>
      <c r="G1206" s="385" t="s">
        <v>19</v>
      </c>
      <c r="H1206" s="386">
        <v>0</v>
      </c>
      <c r="I1206" s="386">
        <v>3500</v>
      </c>
      <c r="J1206" s="386">
        <v>0</v>
      </c>
      <c r="K1206" s="386">
        <v>1700.31</v>
      </c>
      <c r="L1206" s="387" t="s">
        <v>462</v>
      </c>
    </row>
    <row r="1207" spans="1:12" ht="25.5" hidden="1">
      <c r="A1207" s="385" t="s">
        <v>506</v>
      </c>
      <c r="B1207" s="385" t="s">
        <v>508</v>
      </c>
      <c r="C1207" s="385" t="s">
        <v>533</v>
      </c>
      <c r="D1207" s="385" t="s">
        <v>380</v>
      </c>
      <c r="E1207" s="385" t="s">
        <v>19</v>
      </c>
      <c r="F1207" s="385" t="s">
        <v>468</v>
      </c>
      <c r="G1207" s="385" t="s">
        <v>19</v>
      </c>
      <c r="H1207" s="386">
        <v>0</v>
      </c>
      <c r="I1207" s="386">
        <v>500</v>
      </c>
      <c r="J1207" s="386">
        <v>0</v>
      </c>
      <c r="K1207" s="386">
        <v>304.42</v>
      </c>
      <c r="L1207" s="387" t="s">
        <v>365</v>
      </c>
    </row>
    <row r="1208" spans="1:12" hidden="1">
      <c r="A1208" s="385" t="s">
        <v>506</v>
      </c>
      <c r="B1208" s="385" t="s">
        <v>508</v>
      </c>
      <c r="C1208" s="385" t="s">
        <v>533</v>
      </c>
      <c r="D1208" s="385" t="s">
        <v>380</v>
      </c>
      <c r="E1208" s="385" t="s">
        <v>19</v>
      </c>
      <c r="F1208" s="385" t="s">
        <v>461</v>
      </c>
      <c r="G1208" s="385" t="s">
        <v>19</v>
      </c>
      <c r="H1208" s="386">
        <v>0</v>
      </c>
      <c r="I1208" s="386">
        <v>1500</v>
      </c>
      <c r="J1208" s="386">
        <v>0</v>
      </c>
      <c r="K1208" s="386">
        <v>512.95000000000005</v>
      </c>
      <c r="L1208" s="387" t="s">
        <v>462</v>
      </c>
    </row>
    <row r="1209" spans="1:12" ht="25.5" hidden="1">
      <c r="A1209" s="385" t="s">
        <v>506</v>
      </c>
      <c r="B1209" s="385" t="s">
        <v>508</v>
      </c>
      <c r="C1209" s="385" t="s">
        <v>535</v>
      </c>
      <c r="D1209" s="385" t="s">
        <v>380</v>
      </c>
      <c r="E1209" s="385" t="s">
        <v>19</v>
      </c>
      <c r="F1209" s="385" t="s">
        <v>468</v>
      </c>
      <c r="G1209" s="385" t="s">
        <v>19</v>
      </c>
      <c r="H1209" s="386">
        <v>0</v>
      </c>
      <c r="I1209" s="386">
        <v>78829</v>
      </c>
      <c r="J1209" s="386">
        <v>0</v>
      </c>
      <c r="K1209" s="386">
        <v>58343</v>
      </c>
      <c r="L1209" s="387" t="s">
        <v>365</v>
      </c>
    </row>
    <row r="1210" spans="1:12" hidden="1">
      <c r="A1210" s="385" t="s">
        <v>506</v>
      </c>
      <c r="B1210" s="385" t="s">
        <v>508</v>
      </c>
      <c r="C1210" s="385" t="s">
        <v>535</v>
      </c>
      <c r="D1210" s="385" t="s">
        <v>380</v>
      </c>
      <c r="E1210" s="385" t="s">
        <v>19</v>
      </c>
      <c r="F1210" s="385" t="s">
        <v>461</v>
      </c>
      <c r="G1210" s="385" t="s">
        <v>19</v>
      </c>
      <c r="H1210" s="386">
        <v>0</v>
      </c>
      <c r="I1210" s="386">
        <v>65917</v>
      </c>
      <c r="J1210" s="386">
        <v>0</v>
      </c>
      <c r="K1210" s="386">
        <v>49438</v>
      </c>
      <c r="L1210" s="387" t="s">
        <v>462</v>
      </c>
    </row>
    <row r="1211" spans="1:12" hidden="1">
      <c r="A1211" s="385" t="s">
        <v>506</v>
      </c>
      <c r="B1211" s="385" t="s">
        <v>508</v>
      </c>
      <c r="C1211" s="385" t="s">
        <v>538</v>
      </c>
      <c r="D1211" s="385" t="s">
        <v>380</v>
      </c>
      <c r="E1211" s="385" t="s">
        <v>19</v>
      </c>
      <c r="F1211" s="385" t="s">
        <v>386</v>
      </c>
      <c r="G1211" s="385" t="s">
        <v>19</v>
      </c>
      <c r="H1211" s="386">
        <v>0</v>
      </c>
      <c r="I1211" s="386">
        <v>900</v>
      </c>
      <c r="J1211" s="386">
        <v>0</v>
      </c>
      <c r="K1211" s="386">
        <v>0</v>
      </c>
      <c r="L1211" s="387" t="s">
        <v>387</v>
      </c>
    </row>
    <row r="1212" spans="1:12" ht="25.5" hidden="1">
      <c r="A1212" s="385" t="s">
        <v>506</v>
      </c>
      <c r="B1212" s="385" t="s">
        <v>508</v>
      </c>
      <c r="C1212" s="385" t="s">
        <v>540</v>
      </c>
      <c r="D1212" s="385" t="s">
        <v>380</v>
      </c>
      <c r="E1212" s="385" t="s">
        <v>19</v>
      </c>
      <c r="F1212" s="385" t="s">
        <v>468</v>
      </c>
      <c r="G1212" s="385" t="s">
        <v>19</v>
      </c>
      <c r="H1212" s="386">
        <v>0</v>
      </c>
      <c r="I1212" s="386">
        <v>1000</v>
      </c>
      <c r="J1212" s="386">
        <v>0</v>
      </c>
      <c r="K1212" s="386">
        <v>0</v>
      </c>
      <c r="L1212" s="387" t="s">
        <v>365</v>
      </c>
    </row>
    <row r="1213" spans="1:12" hidden="1">
      <c r="A1213" s="385" t="s">
        <v>506</v>
      </c>
      <c r="B1213" s="385" t="s">
        <v>508</v>
      </c>
      <c r="C1213" s="385" t="s">
        <v>540</v>
      </c>
      <c r="D1213" s="385" t="s">
        <v>380</v>
      </c>
      <c r="E1213" s="385" t="s">
        <v>19</v>
      </c>
      <c r="F1213" s="385" t="s">
        <v>461</v>
      </c>
      <c r="G1213" s="385" t="s">
        <v>19</v>
      </c>
      <c r="H1213" s="386">
        <v>0</v>
      </c>
      <c r="I1213" s="386">
        <v>1500</v>
      </c>
      <c r="J1213" s="386">
        <v>0</v>
      </c>
      <c r="K1213" s="386">
        <v>0</v>
      </c>
      <c r="L1213" s="387" t="s">
        <v>462</v>
      </c>
    </row>
    <row r="1214" spans="1:12" hidden="1">
      <c r="A1214" s="385" t="s">
        <v>506</v>
      </c>
      <c r="B1214" s="385" t="s">
        <v>508</v>
      </c>
      <c r="C1214" s="385" t="s">
        <v>593</v>
      </c>
      <c r="D1214" s="385" t="s">
        <v>380</v>
      </c>
      <c r="E1214" s="385" t="s">
        <v>19</v>
      </c>
      <c r="F1214" s="385" t="s">
        <v>482</v>
      </c>
      <c r="G1214" s="385" t="s">
        <v>19</v>
      </c>
      <c r="H1214" s="386">
        <v>0</v>
      </c>
      <c r="I1214" s="386">
        <v>17020.8</v>
      </c>
      <c r="J1214" s="386">
        <v>0</v>
      </c>
      <c r="K1214" s="386">
        <v>17020.8</v>
      </c>
      <c r="L1214" s="387" t="s">
        <v>483</v>
      </c>
    </row>
    <row r="1215" spans="1:12" ht="25.5" hidden="1">
      <c r="A1215" s="385" t="s">
        <v>506</v>
      </c>
      <c r="B1215" s="385" t="s">
        <v>508</v>
      </c>
      <c r="C1215" s="385" t="s">
        <v>594</v>
      </c>
      <c r="D1215" s="385" t="s">
        <v>380</v>
      </c>
      <c r="E1215" s="385" t="s">
        <v>19</v>
      </c>
      <c r="F1215" s="385" t="s">
        <v>468</v>
      </c>
      <c r="G1215" s="385" t="s">
        <v>19</v>
      </c>
      <c r="H1215" s="386">
        <v>0</v>
      </c>
      <c r="I1215" s="386">
        <v>1026841</v>
      </c>
      <c r="J1215" s="386">
        <v>0</v>
      </c>
      <c r="K1215" s="386">
        <v>647973.15</v>
      </c>
      <c r="L1215" s="387" t="s">
        <v>365</v>
      </c>
    </row>
    <row r="1216" spans="1:12" hidden="1">
      <c r="A1216" s="385" t="s">
        <v>506</v>
      </c>
      <c r="B1216" s="385" t="s">
        <v>508</v>
      </c>
      <c r="C1216" s="385" t="s">
        <v>594</v>
      </c>
      <c r="D1216" s="385" t="s">
        <v>380</v>
      </c>
      <c r="E1216" s="385" t="s">
        <v>19</v>
      </c>
      <c r="F1216" s="385" t="s">
        <v>461</v>
      </c>
      <c r="G1216" s="385" t="s">
        <v>19</v>
      </c>
      <c r="H1216" s="386">
        <v>0</v>
      </c>
      <c r="I1216" s="386">
        <v>813805</v>
      </c>
      <c r="J1216" s="386">
        <v>0</v>
      </c>
      <c r="K1216" s="386">
        <v>553333.94999999995</v>
      </c>
      <c r="L1216" s="387" t="s">
        <v>462</v>
      </c>
    </row>
    <row r="1217" spans="1:12" ht="25.5" hidden="1">
      <c r="A1217" s="385" t="s">
        <v>506</v>
      </c>
      <c r="B1217" s="385" t="s">
        <v>508</v>
      </c>
      <c r="C1217" s="385" t="s">
        <v>594</v>
      </c>
      <c r="D1217" s="385" t="s">
        <v>380</v>
      </c>
      <c r="E1217" s="385" t="s">
        <v>19</v>
      </c>
      <c r="F1217" s="385" t="s">
        <v>488</v>
      </c>
      <c r="G1217" s="385" t="s">
        <v>19</v>
      </c>
      <c r="H1217" s="386">
        <v>0</v>
      </c>
      <c r="I1217" s="386">
        <v>3775</v>
      </c>
      <c r="J1217" s="386">
        <v>0</v>
      </c>
      <c r="K1217" s="386">
        <v>0</v>
      </c>
      <c r="L1217" s="387" t="s">
        <v>489</v>
      </c>
    </row>
    <row r="1218" spans="1:12" ht="25.5" hidden="1">
      <c r="A1218" s="385" t="s">
        <v>506</v>
      </c>
      <c r="B1218" s="385" t="s">
        <v>508</v>
      </c>
      <c r="C1218" s="385" t="s">
        <v>595</v>
      </c>
      <c r="D1218" s="385" t="s">
        <v>380</v>
      </c>
      <c r="E1218" s="385" t="s">
        <v>19</v>
      </c>
      <c r="F1218" s="385" t="s">
        <v>468</v>
      </c>
      <c r="G1218" s="385" t="s">
        <v>19</v>
      </c>
      <c r="H1218" s="386">
        <v>0</v>
      </c>
      <c r="I1218" s="386">
        <v>73367</v>
      </c>
      <c r="J1218" s="386">
        <v>0</v>
      </c>
      <c r="K1218" s="386">
        <v>73366.509999999995</v>
      </c>
      <c r="L1218" s="387" t="s">
        <v>365</v>
      </c>
    </row>
    <row r="1219" spans="1:12" hidden="1">
      <c r="A1219" s="385" t="s">
        <v>506</v>
      </c>
      <c r="B1219" s="385" t="s">
        <v>508</v>
      </c>
      <c r="C1219" s="385" t="s">
        <v>595</v>
      </c>
      <c r="D1219" s="385" t="s">
        <v>380</v>
      </c>
      <c r="E1219" s="385" t="s">
        <v>19</v>
      </c>
      <c r="F1219" s="385" t="s">
        <v>461</v>
      </c>
      <c r="G1219" s="385" t="s">
        <v>19</v>
      </c>
      <c r="H1219" s="386">
        <v>0</v>
      </c>
      <c r="I1219" s="386">
        <v>64106</v>
      </c>
      <c r="J1219" s="386">
        <v>0</v>
      </c>
      <c r="K1219" s="386">
        <v>62991.9</v>
      </c>
      <c r="L1219" s="387" t="s">
        <v>462</v>
      </c>
    </row>
    <row r="1220" spans="1:12" hidden="1">
      <c r="A1220" s="385" t="s">
        <v>506</v>
      </c>
      <c r="B1220" s="385" t="s">
        <v>508</v>
      </c>
      <c r="C1220" s="385" t="s">
        <v>596</v>
      </c>
      <c r="D1220" s="385" t="s">
        <v>380</v>
      </c>
      <c r="E1220" s="385" t="s">
        <v>19</v>
      </c>
      <c r="F1220" s="385" t="s">
        <v>482</v>
      </c>
      <c r="G1220" s="385" t="s">
        <v>19</v>
      </c>
      <c r="H1220" s="386">
        <v>0</v>
      </c>
      <c r="I1220" s="386">
        <v>3276.24</v>
      </c>
      <c r="J1220" s="386">
        <v>0</v>
      </c>
      <c r="K1220" s="386">
        <v>3276.24</v>
      </c>
      <c r="L1220" s="387" t="s">
        <v>483</v>
      </c>
    </row>
    <row r="1221" spans="1:12" ht="25.5" hidden="1">
      <c r="A1221" s="385" t="s">
        <v>506</v>
      </c>
      <c r="B1221" s="385" t="s">
        <v>508</v>
      </c>
      <c r="C1221" s="385" t="s">
        <v>541</v>
      </c>
      <c r="D1221" s="385" t="s">
        <v>380</v>
      </c>
      <c r="E1221" s="385" t="s">
        <v>19</v>
      </c>
      <c r="F1221" s="385" t="s">
        <v>389</v>
      </c>
      <c r="G1221" s="385" t="s">
        <v>19</v>
      </c>
      <c r="H1221" s="386">
        <v>0</v>
      </c>
      <c r="I1221" s="386">
        <v>0</v>
      </c>
      <c r="J1221" s="386">
        <v>0</v>
      </c>
      <c r="K1221" s="386">
        <v>0</v>
      </c>
      <c r="L1221" s="387" t="s">
        <v>390</v>
      </c>
    </row>
    <row r="1222" spans="1:12" hidden="1">
      <c r="A1222" s="385" t="s">
        <v>506</v>
      </c>
      <c r="B1222" s="385" t="s">
        <v>509</v>
      </c>
      <c r="C1222" s="385" t="s">
        <v>523</v>
      </c>
      <c r="D1222" s="385" t="s">
        <v>380</v>
      </c>
      <c r="E1222" s="385" t="s">
        <v>19</v>
      </c>
      <c r="F1222" s="385" t="s">
        <v>473</v>
      </c>
      <c r="G1222" s="385" t="s">
        <v>19</v>
      </c>
      <c r="H1222" s="386">
        <v>0</v>
      </c>
      <c r="I1222" s="386">
        <v>291682.26</v>
      </c>
      <c r="J1222" s="386">
        <v>0</v>
      </c>
      <c r="K1222" s="386">
        <v>183503.42</v>
      </c>
      <c r="L1222" s="387" t="s">
        <v>474</v>
      </c>
    </row>
    <row r="1223" spans="1:12" hidden="1">
      <c r="A1223" s="385" t="s">
        <v>506</v>
      </c>
      <c r="B1223" s="385" t="s">
        <v>509</v>
      </c>
      <c r="C1223" s="385" t="s">
        <v>524</v>
      </c>
      <c r="D1223" s="385" t="s">
        <v>380</v>
      </c>
      <c r="E1223" s="385" t="s">
        <v>19</v>
      </c>
      <c r="F1223" s="385" t="s">
        <v>473</v>
      </c>
      <c r="G1223" s="385" t="s">
        <v>19</v>
      </c>
      <c r="H1223" s="386">
        <v>0</v>
      </c>
      <c r="I1223" s="386">
        <v>16582.740000000002</v>
      </c>
      <c r="J1223" s="386">
        <v>0</v>
      </c>
      <c r="K1223" s="386">
        <v>16582.740000000002</v>
      </c>
      <c r="L1223" s="387" t="s">
        <v>474</v>
      </c>
    </row>
    <row r="1224" spans="1:12" ht="25.5" hidden="1">
      <c r="A1224" s="385" t="s">
        <v>506</v>
      </c>
      <c r="B1224" s="385" t="s">
        <v>509</v>
      </c>
      <c r="C1224" s="385" t="s">
        <v>525</v>
      </c>
      <c r="D1224" s="385" t="s">
        <v>380</v>
      </c>
      <c r="E1224" s="385" t="s">
        <v>19</v>
      </c>
      <c r="F1224" s="385" t="s">
        <v>488</v>
      </c>
      <c r="G1224" s="385" t="s">
        <v>19</v>
      </c>
      <c r="H1224" s="386">
        <v>0</v>
      </c>
      <c r="I1224" s="386">
        <v>123</v>
      </c>
      <c r="J1224" s="386">
        <v>0</v>
      </c>
      <c r="K1224" s="386">
        <v>0</v>
      </c>
      <c r="L1224" s="387" t="s">
        <v>489</v>
      </c>
    </row>
    <row r="1225" spans="1:12" hidden="1">
      <c r="A1225" s="385" t="s">
        <v>506</v>
      </c>
      <c r="B1225" s="385" t="s">
        <v>509</v>
      </c>
      <c r="C1225" s="385" t="s">
        <v>525</v>
      </c>
      <c r="D1225" s="385" t="s">
        <v>380</v>
      </c>
      <c r="E1225" s="385" t="s">
        <v>19</v>
      </c>
      <c r="F1225" s="385" t="s">
        <v>473</v>
      </c>
      <c r="G1225" s="385" t="s">
        <v>19</v>
      </c>
      <c r="H1225" s="386">
        <v>0</v>
      </c>
      <c r="I1225" s="386">
        <v>119753</v>
      </c>
      <c r="J1225" s="386">
        <v>0</v>
      </c>
      <c r="K1225" s="386">
        <v>69259.22</v>
      </c>
      <c r="L1225" s="387" t="s">
        <v>474</v>
      </c>
    </row>
    <row r="1226" spans="1:12" hidden="1">
      <c r="A1226" s="385" t="s">
        <v>506</v>
      </c>
      <c r="B1226" s="385" t="s">
        <v>509</v>
      </c>
      <c r="C1226" s="385" t="s">
        <v>526</v>
      </c>
      <c r="D1226" s="385" t="s">
        <v>380</v>
      </c>
      <c r="E1226" s="385" t="s">
        <v>19</v>
      </c>
      <c r="F1226" s="385" t="s">
        <v>473</v>
      </c>
      <c r="G1226" s="385" t="s">
        <v>19</v>
      </c>
      <c r="H1226" s="386">
        <v>0</v>
      </c>
      <c r="I1226" s="386">
        <v>17068</v>
      </c>
      <c r="J1226" s="386">
        <v>0</v>
      </c>
      <c r="K1226" s="386">
        <v>9871.2099999999991</v>
      </c>
      <c r="L1226" s="387" t="s">
        <v>474</v>
      </c>
    </row>
    <row r="1227" spans="1:12" ht="25.5" hidden="1">
      <c r="A1227" s="385" t="s">
        <v>506</v>
      </c>
      <c r="B1227" s="385" t="s">
        <v>509</v>
      </c>
      <c r="C1227" s="385" t="s">
        <v>526</v>
      </c>
      <c r="D1227" s="385" t="s">
        <v>380</v>
      </c>
      <c r="E1227" s="385" t="s">
        <v>19</v>
      </c>
      <c r="F1227" s="385" t="s">
        <v>488</v>
      </c>
      <c r="G1227" s="385" t="s">
        <v>19</v>
      </c>
      <c r="H1227" s="386">
        <v>0</v>
      </c>
      <c r="I1227" s="386">
        <v>18</v>
      </c>
      <c r="J1227" s="386">
        <v>0</v>
      </c>
      <c r="K1227" s="386">
        <v>0</v>
      </c>
      <c r="L1227" s="387" t="s">
        <v>489</v>
      </c>
    </row>
    <row r="1228" spans="1:12" hidden="1">
      <c r="A1228" s="385" t="s">
        <v>506</v>
      </c>
      <c r="B1228" s="385" t="s">
        <v>509</v>
      </c>
      <c r="C1228" s="385" t="s">
        <v>527</v>
      </c>
      <c r="D1228" s="385" t="s">
        <v>380</v>
      </c>
      <c r="E1228" s="385" t="s">
        <v>19</v>
      </c>
      <c r="F1228" s="385" t="s">
        <v>473</v>
      </c>
      <c r="G1228" s="385" t="s">
        <v>19</v>
      </c>
      <c r="H1228" s="386">
        <v>0</v>
      </c>
      <c r="I1228" s="386">
        <v>3504</v>
      </c>
      <c r="J1228" s="386">
        <v>0</v>
      </c>
      <c r="K1228" s="386">
        <v>1805.83</v>
      </c>
      <c r="L1228" s="387" t="s">
        <v>474</v>
      </c>
    </row>
    <row r="1229" spans="1:12" hidden="1">
      <c r="A1229" s="385" t="s">
        <v>506</v>
      </c>
      <c r="B1229" s="385" t="s">
        <v>509</v>
      </c>
      <c r="C1229" s="385" t="s">
        <v>528</v>
      </c>
      <c r="D1229" s="385" t="s">
        <v>380</v>
      </c>
      <c r="E1229" s="385" t="s">
        <v>19</v>
      </c>
      <c r="F1229" s="385" t="s">
        <v>473</v>
      </c>
      <c r="G1229" s="385" t="s">
        <v>19</v>
      </c>
      <c r="H1229" s="386">
        <v>0</v>
      </c>
      <c r="I1229" s="386">
        <v>36285</v>
      </c>
      <c r="J1229" s="386">
        <v>0</v>
      </c>
      <c r="K1229" s="386">
        <v>19199.599999999999</v>
      </c>
      <c r="L1229" s="387" t="s">
        <v>474</v>
      </c>
    </row>
    <row r="1230" spans="1:12" hidden="1">
      <c r="A1230" s="385" t="s">
        <v>506</v>
      </c>
      <c r="B1230" s="385" t="s">
        <v>509</v>
      </c>
      <c r="C1230" s="385" t="s">
        <v>529</v>
      </c>
      <c r="D1230" s="385" t="s">
        <v>380</v>
      </c>
      <c r="E1230" s="385" t="s">
        <v>19</v>
      </c>
      <c r="F1230" s="385" t="s">
        <v>473</v>
      </c>
      <c r="G1230" s="385" t="s">
        <v>19</v>
      </c>
      <c r="H1230" s="386">
        <v>0</v>
      </c>
      <c r="I1230" s="386">
        <v>132880</v>
      </c>
      <c r="J1230" s="386">
        <v>0</v>
      </c>
      <c r="K1230" s="386">
        <v>61071.31</v>
      </c>
      <c r="L1230" s="387" t="s">
        <v>474</v>
      </c>
    </row>
    <row r="1231" spans="1:12" hidden="1">
      <c r="A1231" s="385" t="s">
        <v>506</v>
      </c>
      <c r="B1231" s="385" t="s">
        <v>509</v>
      </c>
      <c r="C1231" s="385" t="s">
        <v>598</v>
      </c>
      <c r="D1231" s="385" t="s">
        <v>380</v>
      </c>
      <c r="E1231" s="385" t="s">
        <v>19</v>
      </c>
      <c r="F1231" s="385" t="s">
        <v>473</v>
      </c>
      <c r="G1231" s="385" t="s">
        <v>19</v>
      </c>
      <c r="H1231" s="386">
        <v>0</v>
      </c>
      <c r="I1231" s="386">
        <v>600</v>
      </c>
      <c r="J1231" s="386">
        <v>0</v>
      </c>
      <c r="K1231" s="386">
        <v>0</v>
      </c>
      <c r="L1231" s="387" t="s">
        <v>474</v>
      </c>
    </row>
    <row r="1232" spans="1:12" hidden="1">
      <c r="A1232" s="385" t="s">
        <v>506</v>
      </c>
      <c r="B1232" s="385" t="s">
        <v>509</v>
      </c>
      <c r="C1232" s="385" t="s">
        <v>530</v>
      </c>
      <c r="D1232" s="385" t="s">
        <v>380</v>
      </c>
      <c r="E1232" s="385" t="s">
        <v>19</v>
      </c>
      <c r="F1232" s="385" t="s">
        <v>473</v>
      </c>
      <c r="G1232" s="385" t="s">
        <v>19</v>
      </c>
      <c r="H1232" s="386">
        <v>0</v>
      </c>
      <c r="I1232" s="386">
        <v>37875</v>
      </c>
      <c r="J1232" s="386">
        <v>0</v>
      </c>
      <c r="K1232" s="386">
        <v>27946.27</v>
      </c>
      <c r="L1232" s="387" t="s">
        <v>474</v>
      </c>
    </row>
    <row r="1233" spans="1:12" hidden="1">
      <c r="A1233" s="385" t="s">
        <v>506</v>
      </c>
      <c r="B1233" s="385" t="s">
        <v>509</v>
      </c>
      <c r="C1233" s="385" t="s">
        <v>531</v>
      </c>
      <c r="D1233" s="385" t="s">
        <v>380</v>
      </c>
      <c r="E1233" s="385" t="s">
        <v>19</v>
      </c>
      <c r="F1233" s="385" t="s">
        <v>473</v>
      </c>
      <c r="G1233" s="385" t="s">
        <v>19</v>
      </c>
      <c r="H1233" s="386">
        <v>0</v>
      </c>
      <c r="I1233" s="386">
        <v>600</v>
      </c>
      <c r="J1233" s="386">
        <v>0</v>
      </c>
      <c r="K1233" s="386">
        <v>515</v>
      </c>
      <c r="L1233" s="387" t="s">
        <v>474</v>
      </c>
    </row>
    <row r="1234" spans="1:12" hidden="1">
      <c r="A1234" s="385" t="s">
        <v>506</v>
      </c>
      <c r="B1234" s="385" t="s">
        <v>509</v>
      </c>
      <c r="C1234" s="385" t="s">
        <v>510</v>
      </c>
      <c r="D1234" s="385" t="s">
        <v>380</v>
      </c>
      <c r="E1234" s="385" t="s">
        <v>19</v>
      </c>
      <c r="F1234" s="385" t="s">
        <v>473</v>
      </c>
      <c r="G1234" s="385" t="s">
        <v>19</v>
      </c>
      <c r="H1234" s="386">
        <v>0</v>
      </c>
      <c r="I1234" s="386">
        <v>31042</v>
      </c>
      <c r="J1234" s="386">
        <v>0</v>
      </c>
      <c r="K1234" s="386">
        <v>21948.86</v>
      </c>
      <c r="L1234" s="387" t="s">
        <v>474</v>
      </c>
    </row>
    <row r="1235" spans="1:12" hidden="1">
      <c r="A1235" s="385" t="s">
        <v>506</v>
      </c>
      <c r="B1235" s="385" t="s">
        <v>509</v>
      </c>
      <c r="C1235" s="385" t="s">
        <v>532</v>
      </c>
      <c r="D1235" s="385" t="s">
        <v>380</v>
      </c>
      <c r="E1235" s="385" t="s">
        <v>19</v>
      </c>
      <c r="F1235" s="385" t="s">
        <v>473</v>
      </c>
      <c r="G1235" s="385" t="s">
        <v>19</v>
      </c>
      <c r="H1235" s="386">
        <v>0</v>
      </c>
      <c r="I1235" s="386">
        <v>404</v>
      </c>
      <c r="J1235" s="386">
        <v>0</v>
      </c>
      <c r="K1235" s="386">
        <v>270</v>
      </c>
      <c r="L1235" s="387" t="s">
        <v>474</v>
      </c>
    </row>
    <row r="1236" spans="1:12" hidden="1">
      <c r="A1236" s="385" t="s">
        <v>506</v>
      </c>
      <c r="B1236" s="385" t="s">
        <v>509</v>
      </c>
      <c r="C1236" s="385" t="s">
        <v>534</v>
      </c>
      <c r="D1236" s="385" t="s">
        <v>380</v>
      </c>
      <c r="E1236" s="385" t="s">
        <v>19</v>
      </c>
      <c r="F1236" s="385" t="s">
        <v>473</v>
      </c>
      <c r="G1236" s="385" t="s">
        <v>19</v>
      </c>
      <c r="H1236" s="386">
        <v>0</v>
      </c>
      <c r="I1236" s="386">
        <v>590</v>
      </c>
      <c r="J1236" s="386">
        <v>0</v>
      </c>
      <c r="K1236" s="386">
        <v>521.14</v>
      </c>
      <c r="L1236" s="387" t="s">
        <v>474</v>
      </c>
    </row>
    <row r="1237" spans="1:12" hidden="1">
      <c r="A1237" s="385" t="s">
        <v>506</v>
      </c>
      <c r="B1237" s="385" t="s">
        <v>509</v>
      </c>
      <c r="C1237" s="385" t="s">
        <v>535</v>
      </c>
      <c r="D1237" s="385" t="s">
        <v>380</v>
      </c>
      <c r="E1237" s="385" t="s">
        <v>19</v>
      </c>
      <c r="F1237" s="385" t="s">
        <v>473</v>
      </c>
      <c r="G1237" s="385" t="s">
        <v>19</v>
      </c>
      <c r="H1237" s="386">
        <v>0</v>
      </c>
      <c r="I1237" s="386">
        <v>40254</v>
      </c>
      <c r="J1237" s="386">
        <v>0</v>
      </c>
      <c r="K1237" s="386">
        <v>30191</v>
      </c>
      <c r="L1237" s="387" t="s">
        <v>474</v>
      </c>
    </row>
    <row r="1238" spans="1:12" hidden="1">
      <c r="A1238" s="385" t="s">
        <v>506</v>
      </c>
      <c r="B1238" s="385" t="s">
        <v>509</v>
      </c>
      <c r="C1238" s="385" t="s">
        <v>536</v>
      </c>
      <c r="D1238" s="385" t="s">
        <v>380</v>
      </c>
      <c r="E1238" s="385" t="s">
        <v>19</v>
      </c>
      <c r="F1238" s="385" t="s">
        <v>473</v>
      </c>
      <c r="G1238" s="385" t="s">
        <v>19</v>
      </c>
      <c r="H1238" s="386">
        <v>0</v>
      </c>
      <c r="I1238" s="386">
        <v>32</v>
      </c>
      <c r="J1238" s="386">
        <v>0</v>
      </c>
      <c r="K1238" s="386">
        <v>32</v>
      </c>
      <c r="L1238" s="387" t="s">
        <v>474</v>
      </c>
    </row>
    <row r="1239" spans="1:12" hidden="1">
      <c r="A1239" s="385" t="s">
        <v>506</v>
      </c>
      <c r="B1239" s="385" t="s">
        <v>509</v>
      </c>
      <c r="C1239" s="385" t="s">
        <v>538</v>
      </c>
      <c r="D1239" s="385" t="s">
        <v>380</v>
      </c>
      <c r="E1239" s="385" t="s">
        <v>19</v>
      </c>
      <c r="F1239" s="385" t="s">
        <v>386</v>
      </c>
      <c r="G1239" s="385" t="s">
        <v>19</v>
      </c>
      <c r="H1239" s="386">
        <v>0</v>
      </c>
      <c r="I1239" s="386">
        <v>54700</v>
      </c>
      <c r="J1239" s="386">
        <v>0</v>
      </c>
      <c r="K1239" s="386">
        <v>0</v>
      </c>
      <c r="L1239" s="387" t="s">
        <v>387</v>
      </c>
    </row>
    <row r="1240" spans="1:12" hidden="1">
      <c r="A1240" s="385" t="s">
        <v>506</v>
      </c>
      <c r="B1240" s="385" t="s">
        <v>509</v>
      </c>
      <c r="C1240" s="385" t="s">
        <v>540</v>
      </c>
      <c r="D1240" s="385" t="s">
        <v>380</v>
      </c>
      <c r="E1240" s="385" t="s">
        <v>19</v>
      </c>
      <c r="F1240" s="385" t="s">
        <v>473</v>
      </c>
      <c r="G1240" s="385" t="s">
        <v>19</v>
      </c>
      <c r="H1240" s="386">
        <v>0</v>
      </c>
      <c r="I1240" s="386">
        <v>600</v>
      </c>
      <c r="J1240" s="386">
        <v>0</v>
      </c>
      <c r="K1240" s="386">
        <v>67</v>
      </c>
      <c r="L1240" s="387" t="s">
        <v>474</v>
      </c>
    </row>
    <row r="1241" spans="1:12" hidden="1">
      <c r="A1241" s="385" t="s">
        <v>506</v>
      </c>
      <c r="B1241" s="385" t="s">
        <v>509</v>
      </c>
      <c r="C1241" s="385" t="s">
        <v>548</v>
      </c>
      <c r="D1241" s="385" t="s">
        <v>380</v>
      </c>
      <c r="E1241" s="385" t="s">
        <v>19</v>
      </c>
      <c r="F1241" s="385" t="s">
        <v>473</v>
      </c>
      <c r="G1241" s="385" t="s">
        <v>19</v>
      </c>
      <c r="H1241" s="386">
        <v>0</v>
      </c>
      <c r="I1241" s="386">
        <v>3000</v>
      </c>
      <c r="J1241" s="386">
        <v>0</v>
      </c>
      <c r="K1241" s="386">
        <v>958.65</v>
      </c>
      <c r="L1241" s="387" t="s">
        <v>474</v>
      </c>
    </row>
    <row r="1242" spans="1:12" hidden="1">
      <c r="A1242" s="385" t="s">
        <v>506</v>
      </c>
      <c r="B1242" s="385" t="s">
        <v>509</v>
      </c>
      <c r="C1242" s="385" t="s">
        <v>594</v>
      </c>
      <c r="D1242" s="385" t="s">
        <v>380</v>
      </c>
      <c r="E1242" s="385" t="s">
        <v>19</v>
      </c>
      <c r="F1242" s="385" t="s">
        <v>473</v>
      </c>
      <c r="G1242" s="385" t="s">
        <v>19</v>
      </c>
      <c r="H1242" s="386">
        <v>0</v>
      </c>
      <c r="I1242" s="386">
        <v>312842.18</v>
      </c>
      <c r="J1242" s="386">
        <v>0</v>
      </c>
      <c r="K1242" s="386">
        <v>237000.28</v>
      </c>
      <c r="L1242" s="387" t="s">
        <v>474</v>
      </c>
    </row>
    <row r="1243" spans="1:12" ht="25.5" hidden="1">
      <c r="A1243" s="385" t="s">
        <v>506</v>
      </c>
      <c r="B1243" s="385" t="s">
        <v>509</v>
      </c>
      <c r="C1243" s="385" t="s">
        <v>594</v>
      </c>
      <c r="D1243" s="385" t="s">
        <v>380</v>
      </c>
      <c r="E1243" s="385" t="s">
        <v>19</v>
      </c>
      <c r="F1243" s="385" t="s">
        <v>488</v>
      </c>
      <c r="G1243" s="385" t="s">
        <v>19</v>
      </c>
      <c r="H1243" s="386">
        <v>0</v>
      </c>
      <c r="I1243" s="386">
        <v>1785</v>
      </c>
      <c r="J1243" s="386">
        <v>0</v>
      </c>
      <c r="K1243" s="386">
        <v>0</v>
      </c>
      <c r="L1243" s="387" t="s">
        <v>489</v>
      </c>
    </row>
    <row r="1244" spans="1:12" hidden="1">
      <c r="A1244" s="385" t="s">
        <v>506</v>
      </c>
      <c r="B1244" s="385" t="s">
        <v>509</v>
      </c>
      <c r="C1244" s="385" t="s">
        <v>595</v>
      </c>
      <c r="D1244" s="385" t="s">
        <v>380</v>
      </c>
      <c r="E1244" s="385" t="s">
        <v>19</v>
      </c>
      <c r="F1244" s="385" t="s">
        <v>473</v>
      </c>
      <c r="G1244" s="385" t="s">
        <v>19</v>
      </c>
      <c r="H1244" s="386">
        <v>0</v>
      </c>
      <c r="I1244" s="386">
        <v>27015.07</v>
      </c>
      <c r="J1244" s="386">
        <v>0</v>
      </c>
      <c r="K1244" s="386">
        <v>27015.07</v>
      </c>
      <c r="L1244" s="387" t="s">
        <v>474</v>
      </c>
    </row>
    <row r="1245" spans="1:12" hidden="1">
      <c r="A1245" s="385" t="s">
        <v>506</v>
      </c>
      <c r="B1245" s="385" t="s">
        <v>295</v>
      </c>
      <c r="C1245" s="385" t="s">
        <v>631</v>
      </c>
      <c r="D1245" s="385" t="s">
        <v>380</v>
      </c>
      <c r="E1245" s="385" t="s">
        <v>19</v>
      </c>
      <c r="F1245" s="385" t="s">
        <v>479</v>
      </c>
      <c r="G1245" s="385" t="s">
        <v>19</v>
      </c>
      <c r="H1245" s="386">
        <v>0</v>
      </c>
      <c r="I1245" s="386">
        <v>500</v>
      </c>
      <c r="J1245" s="386">
        <v>0</v>
      </c>
      <c r="K1245" s="386">
        <v>500</v>
      </c>
      <c r="L1245" s="387" t="s">
        <v>480</v>
      </c>
    </row>
    <row r="1246" spans="1:12" ht="25.5" hidden="1">
      <c r="A1246" s="385" t="s">
        <v>506</v>
      </c>
      <c r="B1246" s="385" t="s">
        <v>295</v>
      </c>
      <c r="C1246" s="385" t="s">
        <v>631</v>
      </c>
      <c r="D1246" s="385" t="s">
        <v>380</v>
      </c>
      <c r="E1246" s="385" t="s">
        <v>19</v>
      </c>
      <c r="F1246" s="385" t="s">
        <v>488</v>
      </c>
      <c r="G1246" s="385" t="s">
        <v>19</v>
      </c>
      <c r="H1246" s="386">
        <v>0</v>
      </c>
      <c r="I1246" s="386">
        <v>0</v>
      </c>
      <c r="J1246" s="386">
        <v>0</v>
      </c>
      <c r="K1246" s="386">
        <v>0</v>
      </c>
      <c r="L1246" s="387" t="s">
        <v>489</v>
      </c>
    </row>
    <row r="1247" spans="1:12" ht="25.5" hidden="1">
      <c r="A1247" s="385" t="s">
        <v>506</v>
      </c>
      <c r="B1247" s="385" t="s">
        <v>295</v>
      </c>
      <c r="C1247" s="385" t="s">
        <v>631</v>
      </c>
      <c r="D1247" s="385" t="s">
        <v>380</v>
      </c>
      <c r="E1247" s="385" t="s">
        <v>19</v>
      </c>
      <c r="F1247" s="385" t="s">
        <v>477</v>
      </c>
      <c r="G1247" s="385" t="s">
        <v>19</v>
      </c>
      <c r="H1247" s="386">
        <v>0</v>
      </c>
      <c r="I1247" s="386">
        <v>500</v>
      </c>
      <c r="J1247" s="386">
        <v>0</v>
      </c>
      <c r="K1247" s="386">
        <v>500</v>
      </c>
      <c r="L1247" s="387" t="s">
        <v>478</v>
      </c>
    </row>
    <row r="1248" spans="1:12" ht="25.5" hidden="1">
      <c r="A1248" s="385" t="s">
        <v>506</v>
      </c>
      <c r="B1248" s="385" t="s">
        <v>295</v>
      </c>
      <c r="C1248" s="385" t="s">
        <v>631</v>
      </c>
      <c r="D1248" s="385" t="s">
        <v>380</v>
      </c>
      <c r="E1248" s="385" t="s">
        <v>19</v>
      </c>
      <c r="F1248" s="385" t="s">
        <v>469</v>
      </c>
      <c r="G1248" s="385" t="s">
        <v>19</v>
      </c>
      <c r="H1248" s="386">
        <v>0</v>
      </c>
      <c r="I1248" s="386">
        <v>1000</v>
      </c>
      <c r="J1248" s="386">
        <v>0</v>
      </c>
      <c r="K1248" s="386">
        <v>500</v>
      </c>
      <c r="L1248" s="387" t="s">
        <v>470</v>
      </c>
    </row>
    <row r="1249" spans="1:12" ht="25.5" hidden="1">
      <c r="A1249" s="385" t="s">
        <v>506</v>
      </c>
      <c r="B1249" s="385" t="s">
        <v>295</v>
      </c>
      <c r="C1249" s="385" t="s">
        <v>631</v>
      </c>
      <c r="D1249" s="385" t="s">
        <v>380</v>
      </c>
      <c r="E1249" s="385" t="s">
        <v>19</v>
      </c>
      <c r="F1249" s="385" t="s">
        <v>475</v>
      </c>
      <c r="G1249" s="385" t="s">
        <v>19</v>
      </c>
      <c r="H1249" s="386">
        <v>0</v>
      </c>
      <c r="I1249" s="386">
        <v>500</v>
      </c>
      <c r="J1249" s="386">
        <v>0</v>
      </c>
      <c r="K1249" s="386">
        <v>500</v>
      </c>
      <c r="L1249" s="387" t="s">
        <v>476</v>
      </c>
    </row>
    <row r="1250" spans="1:12" hidden="1">
      <c r="A1250" s="385" t="s">
        <v>506</v>
      </c>
      <c r="B1250" s="385" t="s">
        <v>295</v>
      </c>
      <c r="C1250" s="385" t="s">
        <v>631</v>
      </c>
      <c r="D1250" s="385" t="s">
        <v>380</v>
      </c>
      <c r="E1250" s="385" t="s">
        <v>19</v>
      </c>
      <c r="F1250" s="385" t="s">
        <v>473</v>
      </c>
      <c r="G1250" s="385" t="s">
        <v>19</v>
      </c>
      <c r="H1250" s="386">
        <v>0</v>
      </c>
      <c r="I1250" s="386">
        <v>1000</v>
      </c>
      <c r="J1250" s="386">
        <v>0</v>
      </c>
      <c r="K1250" s="386">
        <v>500</v>
      </c>
      <c r="L1250" s="387" t="s">
        <v>474</v>
      </c>
    </row>
    <row r="1251" spans="1:12" hidden="1">
      <c r="A1251" s="385" t="s">
        <v>506</v>
      </c>
      <c r="B1251" s="385" t="s">
        <v>295</v>
      </c>
      <c r="C1251" s="385" t="s">
        <v>631</v>
      </c>
      <c r="D1251" s="385" t="s">
        <v>380</v>
      </c>
      <c r="E1251" s="385" t="s">
        <v>19</v>
      </c>
      <c r="F1251" s="385" t="s">
        <v>471</v>
      </c>
      <c r="G1251" s="385" t="s">
        <v>19</v>
      </c>
      <c r="H1251" s="386">
        <v>0</v>
      </c>
      <c r="I1251" s="386">
        <v>1500</v>
      </c>
      <c r="J1251" s="386">
        <v>0</v>
      </c>
      <c r="K1251" s="386">
        <v>0</v>
      </c>
      <c r="L1251" s="387" t="s">
        <v>472</v>
      </c>
    </row>
    <row r="1252" spans="1:12" hidden="1">
      <c r="A1252" s="385" t="s">
        <v>506</v>
      </c>
      <c r="B1252" s="385" t="s">
        <v>632</v>
      </c>
      <c r="C1252" s="385" t="s">
        <v>599</v>
      </c>
      <c r="D1252" s="385" t="s">
        <v>380</v>
      </c>
      <c r="E1252" s="385" t="s">
        <v>19</v>
      </c>
      <c r="F1252" s="385" t="s">
        <v>482</v>
      </c>
      <c r="G1252" s="385" t="s">
        <v>19</v>
      </c>
      <c r="H1252" s="386">
        <v>0</v>
      </c>
      <c r="I1252" s="386">
        <v>198755.18</v>
      </c>
      <c r="J1252" s="386">
        <v>0</v>
      </c>
      <c r="K1252" s="386">
        <v>152888.6</v>
      </c>
      <c r="L1252" s="387" t="s">
        <v>483</v>
      </c>
    </row>
    <row r="1253" spans="1:12" ht="25.5" hidden="1">
      <c r="A1253" s="385" t="s">
        <v>506</v>
      </c>
      <c r="B1253" s="385" t="s">
        <v>632</v>
      </c>
      <c r="C1253" s="385" t="s">
        <v>599</v>
      </c>
      <c r="D1253" s="385" t="s">
        <v>380</v>
      </c>
      <c r="E1253" s="385" t="s">
        <v>19</v>
      </c>
      <c r="F1253" s="385" t="s">
        <v>627</v>
      </c>
      <c r="G1253" s="385" t="s">
        <v>19</v>
      </c>
      <c r="H1253" s="386">
        <v>0</v>
      </c>
      <c r="I1253" s="386">
        <v>1983058</v>
      </c>
      <c r="J1253" s="386">
        <v>0</v>
      </c>
      <c r="K1253" s="386">
        <v>1336652.8400000001</v>
      </c>
      <c r="L1253" s="387" t="s">
        <v>628</v>
      </c>
    </row>
    <row r="1254" spans="1:12" hidden="1">
      <c r="A1254" s="385" t="s">
        <v>506</v>
      </c>
      <c r="B1254" s="385" t="s">
        <v>632</v>
      </c>
      <c r="C1254" s="385" t="s">
        <v>599</v>
      </c>
      <c r="D1254" s="385" t="s">
        <v>380</v>
      </c>
      <c r="E1254" s="385" t="s">
        <v>19</v>
      </c>
      <c r="F1254" s="385" t="s">
        <v>629</v>
      </c>
      <c r="G1254" s="385" t="s">
        <v>19</v>
      </c>
      <c r="H1254" s="386">
        <v>0</v>
      </c>
      <c r="I1254" s="386">
        <v>3636344</v>
      </c>
      <c r="J1254" s="386">
        <v>0</v>
      </c>
      <c r="K1254" s="386">
        <v>2772688.14</v>
      </c>
      <c r="L1254" s="387" t="s">
        <v>630</v>
      </c>
    </row>
    <row r="1255" spans="1:12" ht="25.5" hidden="1">
      <c r="A1255" s="385" t="s">
        <v>506</v>
      </c>
      <c r="B1255" s="385" t="s">
        <v>633</v>
      </c>
      <c r="C1255" s="385" t="s">
        <v>510</v>
      </c>
      <c r="D1255" s="385" t="s">
        <v>380</v>
      </c>
      <c r="E1255" s="385" t="s">
        <v>19</v>
      </c>
      <c r="F1255" s="385" t="s">
        <v>488</v>
      </c>
      <c r="G1255" s="385" t="s">
        <v>19</v>
      </c>
      <c r="H1255" s="386">
        <v>0</v>
      </c>
      <c r="I1255" s="386">
        <v>220</v>
      </c>
      <c r="J1255" s="386">
        <v>0</v>
      </c>
      <c r="K1255" s="386">
        <v>0</v>
      </c>
      <c r="L1255" s="387" t="s">
        <v>489</v>
      </c>
    </row>
    <row r="1256" spans="1:12" ht="25.5" hidden="1">
      <c r="A1256" s="385" t="s">
        <v>506</v>
      </c>
      <c r="B1256" s="385" t="s">
        <v>633</v>
      </c>
      <c r="C1256" s="385" t="s">
        <v>510</v>
      </c>
      <c r="D1256" s="385" t="s">
        <v>380</v>
      </c>
      <c r="E1256" s="385" t="s">
        <v>19</v>
      </c>
      <c r="F1256" s="385" t="s">
        <v>475</v>
      </c>
      <c r="G1256" s="385" t="s">
        <v>19</v>
      </c>
      <c r="H1256" s="386">
        <v>0</v>
      </c>
      <c r="I1256" s="386">
        <v>1800</v>
      </c>
      <c r="J1256" s="386">
        <v>0</v>
      </c>
      <c r="K1256" s="386">
        <v>1200</v>
      </c>
      <c r="L1256" s="387" t="s">
        <v>476</v>
      </c>
    </row>
    <row r="1257" spans="1:12" hidden="1">
      <c r="A1257" s="385" t="s">
        <v>506</v>
      </c>
      <c r="B1257" s="385" t="s">
        <v>633</v>
      </c>
      <c r="C1257" s="385" t="s">
        <v>510</v>
      </c>
      <c r="D1257" s="385" t="s">
        <v>380</v>
      </c>
      <c r="E1257" s="385" t="s">
        <v>19</v>
      </c>
      <c r="F1257" s="385" t="s">
        <v>461</v>
      </c>
      <c r="G1257" s="385" t="s">
        <v>19</v>
      </c>
      <c r="H1257" s="386">
        <v>0</v>
      </c>
      <c r="I1257" s="386">
        <v>2480</v>
      </c>
      <c r="J1257" s="386">
        <v>0</v>
      </c>
      <c r="K1257" s="386">
        <v>0</v>
      </c>
      <c r="L1257" s="387" t="s">
        <v>462</v>
      </c>
    </row>
    <row r="1258" spans="1:12" ht="25.5" hidden="1">
      <c r="A1258" s="385" t="s">
        <v>506</v>
      </c>
      <c r="B1258" s="385" t="s">
        <v>633</v>
      </c>
      <c r="C1258" s="385" t="s">
        <v>510</v>
      </c>
      <c r="D1258" s="385" t="s">
        <v>380</v>
      </c>
      <c r="E1258" s="385" t="s">
        <v>19</v>
      </c>
      <c r="F1258" s="385" t="s">
        <v>468</v>
      </c>
      <c r="G1258" s="385" t="s">
        <v>19</v>
      </c>
      <c r="H1258" s="386">
        <v>0</v>
      </c>
      <c r="I1258" s="386">
        <v>2000</v>
      </c>
      <c r="J1258" s="386">
        <v>0</v>
      </c>
      <c r="K1258" s="386">
        <v>0</v>
      </c>
      <c r="L1258" s="387" t="s">
        <v>365</v>
      </c>
    </row>
    <row r="1259" spans="1:12" ht="25.5" hidden="1">
      <c r="A1259" s="385" t="s">
        <v>506</v>
      </c>
      <c r="B1259" s="385" t="s">
        <v>633</v>
      </c>
      <c r="C1259" s="385" t="s">
        <v>533</v>
      </c>
      <c r="D1259" s="385" t="s">
        <v>380</v>
      </c>
      <c r="E1259" s="385" t="s">
        <v>19</v>
      </c>
      <c r="F1259" s="385" t="s">
        <v>468</v>
      </c>
      <c r="G1259" s="385" t="s">
        <v>19</v>
      </c>
      <c r="H1259" s="386">
        <v>0</v>
      </c>
      <c r="I1259" s="386">
        <v>2000</v>
      </c>
      <c r="J1259" s="386">
        <v>0</v>
      </c>
      <c r="K1259" s="386">
        <v>312</v>
      </c>
      <c r="L1259" s="387" t="s">
        <v>365</v>
      </c>
    </row>
    <row r="1260" spans="1:12" ht="25.5" hidden="1">
      <c r="A1260" s="385" t="s">
        <v>506</v>
      </c>
      <c r="B1260" s="385" t="s">
        <v>633</v>
      </c>
      <c r="C1260" s="385" t="s">
        <v>533</v>
      </c>
      <c r="D1260" s="385" t="s">
        <v>380</v>
      </c>
      <c r="E1260" s="385" t="s">
        <v>19</v>
      </c>
      <c r="F1260" s="385" t="s">
        <v>475</v>
      </c>
      <c r="G1260" s="385" t="s">
        <v>19</v>
      </c>
      <c r="H1260" s="386">
        <v>0</v>
      </c>
      <c r="I1260" s="386">
        <v>1311</v>
      </c>
      <c r="J1260" s="386">
        <v>0</v>
      </c>
      <c r="K1260" s="386">
        <v>0</v>
      </c>
      <c r="L1260" s="387" t="s">
        <v>476</v>
      </c>
    </row>
    <row r="1261" spans="1:12" ht="25.5" hidden="1">
      <c r="A1261" s="385" t="s">
        <v>506</v>
      </c>
      <c r="B1261" s="385" t="s">
        <v>633</v>
      </c>
      <c r="C1261" s="385" t="s">
        <v>533</v>
      </c>
      <c r="D1261" s="385" t="s">
        <v>380</v>
      </c>
      <c r="E1261" s="385" t="s">
        <v>19</v>
      </c>
      <c r="F1261" s="385" t="s">
        <v>488</v>
      </c>
      <c r="G1261" s="385" t="s">
        <v>19</v>
      </c>
      <c r="H1261" s="386">
        <v>0</v>
      </c>
      <c r="I1261" s="386">
        <v>2689</v>
      </c>
      <c r="J1261" s="386">
        <v>0</v>
      </c>
      <c r="K1261" s="386">
        <v>0</v>
      </c>
      <c r="L1261" s="387" t="s">
        <v>489</v>
      </c>
    </row>
    <row r="1262" spans="1:12" ht="25.5" hidden="1">
      <c r="A1262" s="385" t="s">
        <v>506</v>
      </c>
      <c r="B1262" s="385" t="s">
        <v>633</v>
      </c>
      <c r="C1262" s="385" t="s">
        <v>540</v>
      </c>
      <c r="D1262" s="385" t="s">
        <v>380</v>
      </c>
      <c r="E1262" s="385" t="s">
        <v>19</v>
      </c>
      <c r="F1262" s="385" t="s">
        <v>468</v>
      </c>
      <c r="G1262" s="385" t="s">
        <v>19</v>
      </c>
      <c r="H1262" s="386">
        <v>0</v>
      </c>
      <c r="I1262" s="386">
        <v>5428</v>
      </c>
      <c r="J1262" s="386">
        <v>0</v>
      </c>
      <c r="K1262" s="386">
        <v>640</v>
      </c>
      <c r="L1262" s="387" t="s">
        <v>365</v>
      </c>
    </row>
    <row r="1263" spans="1:12" hidden="1">
      <c r="A1263" s="385" t="s">
        <v>506</v>
      </c>
      <c r="B1263" s="385" t="s">
        <v>633</v>
      </c>
      <c r="C1263" s="385" t="s">
        <v>540</v>
      </c>
      <c r="D1263" s="385" t="s">
        <v>380</v>
      </c>
      <c r="E1263" s="385" t="s">
        <v>19</v>
      </c>
      <c r="F1263" s="385" t="s">
        <v>473</v>
      </c>
      <c r="G1263" s="385" t="s">
        <v>19</v>
      </c>
      <c r="H1263" s="386">
        <v>0</v>
      </c>
      <c r="I1263" s="386">
        <v>2318</v>
      </c>
      <c r="J1263" s="386">
        <v>0</v>
      </c>
      <c r="K1263" s="386">
        <v>0</v>
      </c>
      <c r="L1263" s="387" t="s">
        <v>474</v>
      </c>
    </row>
    <row r="1264" spans="1:12" ht="25.5" hidden="1">
      <c r="A1264" s="385" t="s">
        <v>506</v>
      </c>
      <c r="B1264" s="385" t="s">
        <v>633</v>
      </c>
      <c r="C1264" s="385" t="s">
        <v>540</v>
      </c>
      <c r="D1264" s="385" t="s">
        <v>380</v>
      </c>
      <c r="E1264" s="385" t="s">
        <v>19</v>
      </c>
      <c r="F1264" s="385" t="s">
        <v>475</v>
      </c>
      <c r="G1264" s="385" t="s">
        <v>19</v>
      </c>
      <c r="H1264" s="386">
        <v>0</v>
      </c>
      <c r="I1264" s="386">
        <v>5500</v>
      </c>
      <c r="J1264" s="386">
        <v>0</v>
      </c>
      <c r="K1264" s="386">
        <v>1229</v>
      </c>
      <c r="L1264" s="387" t="s">
        <v>476</v>
      </c>
    </row>
    <row r="1265" spans="1:12" hidden="1">
      <c r="A1265" s="385" t="s">
        <v>506</v>
      </c>
      <c r="B1265" s="385" t="s">
        <v>633</v>
      </c>
      <c r="C1265" s="385" t="s">
        <v>540</v>
      </c>
      <c r="D1265" s="385" t="s">
        <v>380</v>
      </c>
      <c r="E1265" s="385" t="s">
        <v>19</v>
      </c>
      <c r="F1265" s="385" t="s">
        <v>461</v>
      </c>
      <c r="G1265" s="385" t="s">
        <v>19</v>
      </c>
      <c r="H1265" s="386">
        <v>0</v>
      </c>
      <c r="I1265" s="386">
        <v>3104</v>
      </c>
      <c r="J1265" s="386">
        <v>0</v>
      </c>
      <c r="K1265" s="386">
        <v>3104</v>
      </c>
      <c r="L1265" s="387" t="s">
        <v>462</v>
      </c>
    </row>
    <row r="1266" spans="1:12" ht="25.5" hidden="1">
      <c r="A1266" s="385" t="s">
        <v>506</v>
      </c>
      <c r="B1266" s="385" t="s">
        <v>633</v>
      </c>
      <c r="C1266" s="385" t="s">
        <v>540</v>
      </c>
      <c r="D1266" s="385" t="s">
        <v>380</v>
      </c>
      <c r="E1266" s="385" t="s">
        <v>19</v>
      </c>
      <c r="F1266" s="385" t="s">
        <v>488</v>
      </c>
      <c r="G1266" s="385" t="s">
        <v>19</v>
      </c>
      <c r="H1266" s="386">
        <v>0</v>
      </c>
      <c r="I1266" s="386">
        <v>3577</v>
      </c>
      <c r="J1266" s="386">
        <v>0</v>
      </c>
      <c r="K1266" s="386">
        <v>0</v>
      </c>
      <c r="L1266" s="387" t="s">
        <v>489</v>
      </c>
    </row>
    <row r="1267" spans="1:12" ht="25.5" hidden="1">
      <c r="A1267" s="385" t="s">
        <v>506</v>
      </c>
      <c r="B1267" s="385" t="s">
        <v>634</v>
      </c>
      <c r="C1267" s="385" t="s">
        <v>521</v>
      </c>
      <c r="D1267" s="385" t="s">
        <v>380</v>
      </c>
      <c r="E1267" s="385" t="s">
        <v>19</v>
      </c>
      <c r="F1267" s="385" t="s">
        <v>488</v>
      </c>
      <c r="G1267" s="385" t="s">
        <v>19</v>
      </c>
      <c r="H1267" s="386">
        <v>0</v>
      </c>
      <c r="I1267" s="386">
        <v>12161</v>
      </c>
      <c r="J1267" s="386">
        <v>0</v>
      </c>
      <c r="K1267" s="386">
        <v>0</v>
      </c>
      <c r="L1267" s="387" t="s">
        <v>489</v>
      </c>
    </row>
    <row r="1268" spans="1:12" ht="25.5" hidden="1">
      <c r="A1268" s="385" t="s">
        <v>506</v>
      </c>
      <c r="B1268" s="385" t="s">
        <v>634</v>
      </c>
      <c r="C1268" s="385" t="s">
        <v>535</v>
      </c>
      <c r="D1268" s="385" t="s">
        <v>380</v>
      </c>
      <c r="E1268" s="385" t="s">
        <v>19</v>
      </c>
      <c r="F1268" s="385" t="s">
        <v>475</v>
      </c>
      <c r="G1268" s="385" t="s">
        <v>19</v>
      </c>
      <c r="H1268" s="386">
        <v>0</v>
      </c>
      <c r="I1268" s="386">
        <v>22826</v>
      </c>
      <c r="J1268" s="386">
        <v>0</v>
      </c>
      <c r="K1268" s="386">
        <v>17119</v>
      </c>
      <c r="L1268" s="387" t="s">
        <v>476</v>
      </c>
    </row>
    <row r="1269" spans="1:12" hidden="1">
      <c r="A1269" s="385" t="s">
        <v>506</v>
      </c>
      <c r="B1269" s="385" t="s">
        <v>634</v>
      </c>
      <c r="C1269" s="385" t="s">
        <v>535</v>
      </c>
      <c r="D1269" s="385" t="s">
        <v>380</v>
      </c>
      <c r="E1269" s="385" t="s">
        <v>19</v>
      </c>
      <c r="F1269" s="385" t="s">
        <v>473</v>
      </c>
      <c r="G1269" s="385" t="s">
        <v>19</v>
      </c>
      <c r="H1269" s="386">
        <v>0</v>
      </c>
      <c r="I1269" s="386">
        <v>2283</v>
      </c>
      <c r="J1269" s="386">
        <v>0</v>
      </c>
      <c r="K1269" s="386">
        <v>1712</v>
      </c>
      <c r="L1269" s="387" t="s">
        <v>474</v>
      </c>
    </row>
    <row r="1270" spans="1:12" hidden="1">
      <c r="A1270" s="385" t="s">
        <v>506</v>
      </c>
      <c r="B1270" s="385" t="s">
        <v>634</v>
      </c>
      <c r="C1270" s="385" t="s">
        <v>535</v>
      </c>
      <c r="D1270" s="385" t="s">
        <v>380</v>
      </c>
      <c r="E1270" s="385" t="s">
        <v>19</v>
      </c>
      <c r="F1270" s="385" t="s">
        <v>471</v>
      </c>
      <c r="G1270" s="385" t="s">
        <v>19</v>
      </c>
      <c r="H1270" s="386">
        <v>0</v>
      </c>
      <c r="I1270" s="386">
        <v>9131</v>
      </c>
      <c r="J1270" s="386">
        <v>0</v>
      </c>
      <c r="K1270" s="386">
        <v>6848.25</v>
      </c>
      <c r="L1270" s="387" t="s">
        <v>472</v>
      </c>
    </row>
    <row r="1271" spans="1:12" ht="25.5" hidden="1">
      <c r="A1271" s="385" t="s">
        <v>506</v>
      </c>
      <c r="B1271" s="385" t="s">
        <v>634</v>
      </c>
      <c r="C1271" s="385" t="s">
        <v>535</v>
      </c>
      <c r="D1271" s="385" t="s">
        <v>380</v>
      </c>
      <c r="E1271" s="385" t="s">
        <v>19</v>
      </c>
      <c r="F1271" s="385" t="s">
        <v>468</v>
      </c>
      <c r="G1271" s="385" t="s">
        <v>19</v>
      </c>
      <c r="H1271" s="386">
        <v>0</v>
      </c>
      <c r="I1271" s="386">
        <v>16284</v>
      </c>
      <c r="J1271" s="386">
        <v>0</v>
      </c>
      <c r="K1271" s="386">
        <v>12213</v>
      </c>
      <c r="L1271" s="387" t="s">
        <v>365</v>
      </c>
    </row>
    <row r="1272" spans="1:12" ht="25.5" hidden="1">
      <c r="A1272" s="385" t="s">
        <v>506</v>
      </c>
      <c r="B1272" s="385" t="s">
        <v>634</v>
      </c>
      <c r="C1272" s="385" t="s">
        <v>535</v>
      </c>
      <c r="D1272" s="385" t="s">
        <v>380</v>
      </c>
      <c r="E1272" s="385" t="s">
        <v>19</v>
      </c>
      <c r="F1272" s="385" t="s">
        <v>488</v>
      </c>
      <c r="G1272" s="385" t="s">
        <v>19</v>
      </c>
      <c r="H1272" s="386">
        <v>0</v>
      </c>
      <c r="I1272" s="386">
        <v>4565</v>
      </c>
      <c r="J1272" s="386">
        <v>0</v>
      </c>
      <c r="K1272" s="386">
        <v>0</v>
      </c>
      <c r="L1272" s="387" t="s">
        <v>489</v>
      </c>
    </row>
    <row r="1273" spans="1:12" hidden="1">
      <c r="A1273" s="385" t="s">
        <v>506</v>
      </c>
      <c r="B1273" s="385" t="s">
        <v>634</v>
      </c>
      <c r="C1273" s="385" t="s">
        <v>535</v>
      </c>
      <c r="D1273" s="385" t="s">
        <v>380</v>
      </c>
      <c r="E1273" s="385" t="s">
        <v>19</v>
      </c>
      <c r="F1273" s="385" t="s">
        <v>461</v>
      </c>
      <c r="G1273" s="385" t="s">
        <v>19</v>
      </c>
      <c r="H1273" s="386">
        <v>0</v>
      </c>
      <c r="I1273" s="386">
        <v>9118</v>
      </c>
      <c r="J1273" s="386">
        <v>0</v>
      </c>
      <c r="K1273" s="386">
        <v>6838</v>
      </c>
      <c r="L1273" s="387" t="s">
        <v>462</v>
      </c>
    </row>
    <row r="1274" spans="1:12" hidden="1">
      <c r="A1274" s="385" t="s">
        <v>506</v>
      </c>
      <c r="B1274" s="385" t="s">
        <v>634</v>
      </c>
      <c r="C1274" s="385" t="s">
        <v>594</v>
      </c>
      <c r="D1274" s="385" t="s">
        <v>380</v>
      </c>
      <c r="E1274" s="385" t="s">
        <v>19</v>
      </c>
      <c r="F1274" s="385" t="s">
        <v>386</v>
      </c>
      <c r="G1274" s="385" t="s">
        <v>19</v>
      </c>
      <c r="H1274" s="386">
        <v>0</v>
      </c>
      <c r="I1274" s="386">
        <v>0</v>
      </c>
      <c r="J1274" s="386">
        <v>0</v>
      </c>
      <c r="K1274" s="386">
        <v>0</v>
      </c>
      <c r="L1274" s="387" t="s">
        <v>387</v>
      </c>
    </row>
    <row r="1275" spans="1:12" hidden="1">
      <c r="A1275" s="385" t="s">
        <v>298</v>
      </c>
      <c r="B1275" s="385" t="s">
        <v>299</v>
      </c>
      <c r="C1275" s="385" t="s">
        <v>500</v>
      </c>
      <c r="D1275" s="385" t="s">
        <v>380</v>
      </c>
      <c r="E1275" s="385" t="s">
        <v>19</v>
      </c>
      <c r="F1275" s="385" t="s">
        <v>637</v>
      </c>
      <c r="G1275" s="385" t="s">
        <v>19</v>
      </c>
      <c r="H1275" s="386">
        <v>0</v>
      </c>
      <c r="I1275" s="386">
        <v>14544</v>
      </c>
      <c r="J1275" s="386">
        <v>0</v>
      </c>
      <c r="K1275" s="386">
        <v>10238.74</v>
      </c>
      <c r="L1275" s="387" t="s">
        <v>638</v>
      </c>
    </row>
    <row r="1276" spans="1:12" hidden="1">
      <c r="A1276" s="385" t="s">
        <v>298</v>
      </c>
      <c r="B1276" s="385" t="s">
        <v>299</v>
      </c>
      <c r="C1276" s="385" t="s">
        <v>500</v>
      </c>
      <c r="D1276" s="385" t="s">
        <v>380</v>
      </c>
      <c r="E1276" s="385" t="s">
        <v>19</v>
      </c>
      <c r="F1276" s="385" t="s">
        <v>635</v>
      </c>
      <c r="G1276" s="385" t="s">
        <v>19</v>
      </c>
      <c r="H1276" s="386">
        <v>0</v>
      </c>
      <c r="I1276" s="386">
        <v>0</v>
      </c>
      <c r="J1276" s="386">
        <v>0</v>
      </c>
      <c r="K1276" s="386">
        <v>0</v>
      </c>
      <c r="L1276" s="387" t="s">
        <v>636</v>
      </c>
    </row>
    <row r="1277" spans="1:12" hidden="1">
      <c r="A1277" s="385" t="s">
        <v>298</v>
      </c>
      <c r="B1277" s="385" t="s">
        <v>299</v>
      </c>
      <c r="C1277" s="385" t="s">
        <v>606</v>
      </c>
      <c r="D1277" s="385" t="s">
        <v>380</v>
      </c>
      <c r="E1277" s="385" t="s">
        <v>19</v>
      </c>
      <c r="F1277" s="385" t="s">
        <v>467</v>
      </c>
      <c r="G1277" s="385" t="s">
        <v>19</v>
      </c>
      <c r="H1277" s="386">
        <v>0</v>
      </c>
      <c r="I1277" s="386">
        <v>2000</v>
      </c>
      <c r="J1277" s="386">
        <v>0</v>
      </c>
      <c r="K1277" s="386">
        <v>2000</v>
      </c>
      <c r="L1277" s="387" t="s">
        <v>353</v>
      </c>
    </row>
    <row r="1278" spans="1:12" hidden="1">
      <c r="A1278" s="385" t="s">
        <v>298</v>
      </c>
      <c r="B1278" s="385" t="s">
        <v>299</v>
      </c>
      <c r="C1278" s="385" t="s">
        <v>616</v>
      </c>
      <c r="D1278" s="385" t="s">
        <v>380</v>
      </c>
      <c r="E1278" s="385" t="s">
        <v>19</v>
      </c>
      <c r="F1278" s="385" t="s">
        <v>386</v>
      </c>
      <c r="G1278" s="385" t="s">
        <v>19</v>
      </c>
      <c r="H1278" s="386">
        <v>0</v>
      </c>
      <c r="I1278" s="386">
        <v>0</v>
      </c>
      <c r="J1278" s="386">
        <v>0</v>
      </c>
      <c r="K1278" s="386">
        <v>0</v>
      </c>
      <c r="L1278" s="387" t="s">
        <v>387</v>
      </c>
    </row>
    <row r="1279" spans="1:12" hidden="1">
      <c r="A1279" s="385" t="s">
        <v>298</v>
      </c>
      <c r="B1279" s="385" t="s">
        <v>299</v>
      </c>
      <c r="C1279" s="385" t="s">
        <v>616</v>
      </c>
      <c r="D1279" s="385" t="s">
        <v>380</v>
      </c>
      <c r="E1279" s="385" t="s">
        <v>19</v>
      </c>
      <c r="F1279" s="385" t="s">
        <v>467</v>
      </c>
      <c r="G1279" s="385" t="s">
        <v>19</v>
      </c>
      <c r="H1279" s="386">
        <v>0</v>
      </c>
      <c r="I1279" s="386">
        <v>3900340</v>
      </c>
      <c r="J1279" s="386">
        <v>0</v>
      </c>
      <c r="K1279" s="386">
        <v>3362043.43</v>
      </c>
      <c r="L1279" s="387" t="s">
        <v>353</v>
      </c>
    </row>
    <row r="1280" spans="1:12" hidden="1">
      <c r="A1280" s="385" t="s">
        <v>298</v>
      </c>
      <c r="B1280" s="385" t="s">
        <v>299</v>
      </c>
      <c r="C1280" s="385" t="s">
        <v>778</v>
      </c>
      <c r="D1280" s="385" t="s">
        <v>380</v>
      </c>
      <c r="E1280" s="385" t="s">
        <v>19</v>
      </c>
      <c r="F1280" s="385" t="s">
        <v>482</v>
      </c>
      <c r="G1280" s="385" t="s">
        <v>19</v>
      </c>
      <c r="H1280" s="386">
        <v>0</v>
      </c>
      <c r="I1280" s="386">
        <v>9026</v>
      </c>
      <c r="J1280" s="386">
        <v>0</v>
      </c>
      <c r="K1280" s="386">
        <v>7633.94</v>
      </c>
      <c r="L1280" s="387" t="s">
        <v>483</v>
      </c>
    </row>
    <row r="1281" spans="1:12" hidden="1">
      <c r="A1281" s="385" t="s">
        <v>298</v>
      </c>
      <c r="B1281" s="385" t="s">
        <v>299</v>
      </c>
      <c r="C1281" s="385" t="s">
        <v>523</v>
      </c>
      <c r="D1281" s="385" t="s">
        <v>380</v>
      </c>
      <c r="E1281" s="385" t="s">
        <v>19</v>
      </c>
      <c r="F1281" s="385" t="s">
        <v>467</v>
      </c>
      <c r="G1281" s="385" t="s">
        <v>19</v>
      </c>
      <c r="H1281" s="386">
        <v>0</v>
      </c>
      <c r="I1281" s="386">
        <v>332426</v>
      </c>
      <c r="J1281" s="386">
        <v>0</v>
      </c>
      <c r="K1281" s="386">
        <v>148596.24</v>
      </c>
      <c r="L1281" s="387" t="s">
        <v>353</v>
      </c>
    </row>
    <row r="1282" spans="1:12" hidden="1">
      <c r="A1282" s="385" t="s">
        <v>298</v>
      </c>
      <c r="B1282" s="385" t="s">
        <v>299</v>
      </c>
      <c r="C1282" s="385" t="s">
        <v>524</v>
      </c>
      <c r="D1282" s="385" t="s">
        <v>380</v>
      </c>
      <c r="E1282" s="385" t="s">
        <v>19</v>
      </c>
      <c r="F1282" s="385" t="s">
        <v>467</v>
      </c>
      <c r="G1282" s="385" t="s">
        <v>19</v>
      </c>
      <c r="H1282" s="386">
        <v>0</v>
      </c>
      <c r="I1282" s="386">
        <v>16013</v>
      </c>
      <c r="J1282" s="386">
        <v>0</v>
      </c>
      <c r="K1282" s="386">
        <v>15495.82</v>
      </c>
      <c r="L1282" s="387" t="s">
        <v>353</v>
      </c>
    </row>
    <row r="1283" spans="1:12" ht="25.5" hidden="1">
      <c r="A1283" s="385" t="s">
        <v>298</v>
      </c>
      <c r="B1283" s="385" t="s">
        <v>299</v>
      </c>
      <c r="C1283" s="385" t="s">
        <v>525</v>
      </c>
      <c r="D1283" s="385" t="s">
        <v>380</v>
      </c>
      <c r="E1283" s="385" t="s">
        <v>19</v>
      </c>
      <c r="F1283" s="385" t="s">
        <v>751</v>
      </c>
      <c r="G1283" s="385" t="s">
        <v>19</v>
      </c>
      <c r="H1283" s="386">
        <v>0</v>
      </c>
      <c r="I1283" s="386">
        <v>33062</v>
      </c>
      <c r="J1283" s="386">
        <v>0</v>
      </c>
      <c r="K1283" s="386">
        <v>19286.400000000001</v>
      </c>
      <c r="L1283" s="387" t="s">
        <v>752</v>
      </c>
    </row>
    <row r="1284" spans="1:12" hidden="1">
      <c r="A1284" s="385" t="s">
        <v>298</v>
      </c>
      <c r="B1284" s="385" t="s">
        <v>299</v>
      </c>
      <c r="C1284" s="385" t="s">
        <v>525</v>
      </c>
      <c r="D1284" s="385" t="s">
        <v>380</v>
      </c>
      <c r="E1284" s="385" t="s">
        <v>19</v>
      </c>
      <c r="F1284" s="385" t="s">
        <v>467</v>
      </c>
      <c r="G1284" s="385" t="s">
        <v>19</v>
      </c>
      <c r="H1284" s="386">
        <v>0</v>
      </c>
      <c r="I1284" s="386">
        <v>285938</v>
      </c>
      <c r="J1284" s="386">
        <v>0</v>
      </c>
      <c r="K1284" s="386">
        <v>159592.53</v>
      </c>
      <c r="L1284" s="387" t="s">
        <v>353</v>
      </c>
    </row>
    <row r="1285" spans="1:12" ht="25.5" hidden="1">
      <c r="A1285" s="385" t="s">
        <v>298</v>
      </c>
      <c r="B1285" s="385" t="s">
        <v>299</v>
      </c>
      <c r="C1285" s="385" t="s">
        <v>526</v>
      </c>
      <c r="D1285" s="385" t="s">
        <v>380</v>
      </c>
      <c r="E1285" s="385" t="s">
        <v>19</v>
      </c>
      <c r="F1285" s="385" t="s">
        <v>751</v>
      </c>
      <c r="G1285" s="385" t="s">
        <v>19</v>
      </c>
      <c r="H1285" s="386">
        <v>0</v>
      </c>
      <c r="I1285" s="386">
        <v>2514</v>
      </c>
      <c r="J1285" s="386">
        <v>0</v>
      </c>
      <c r="K1285" s="386">
        <v>1029</v>
      </c>
      <c r="L1285" s="387" t="s">
        <v>752</v>
      </c>
    </row>
    <row r="1286" spans="1:12" hidden="1">
      <c r="A1286" s="385" t="s">
        <v>298</v>
      </c>
      <c r="B1286" s="385" t="s">
        <v>299</v>
      </c>
      <c r="C1286" s="385" t="s">
        <v>526</v>
      </c>
      <c r="D1286" s="385" t="s">
        <v>380</v>
      </c>
      <c r="E1286" s="385" t="s">
        <v>19</v>
      </c>
      <c r="F1286" s="385" t="s">
        <v>467</v>
      </c>
      <c r="G1286" s="385" t="s">
        <v>19</v>
      </c>
      <c r="H1286" s="386">
        <v>0</v>
      </c>
      <c r="I1286" s="386">
        <v>32621</v>
      </c>
      <c r="J1286" s="386">
        <v>0</v>
      </c>
      <c r="K1286" s="386">
        <v>10987.64</v>
      </c>
      <c r="L1286" s="387" t="s">
        <v>353</v>
      </c>
    </row>
    <row r="1287" spans="1:12" ht="25.5" hidden="1">
      <c r="A1287" s="385" t="s">
        <v>298</v>
      </c>
      <c r="B1287" s="385" t="s">
        <v>299</v>
      </c>
      <c r="C1287" s="385" t="s">
        <v>527</v>
      </c>
      <c r="D1287" s="385" t="s">
        <v>380</v>
      </c>
      <c r="E1287" s="385" t="s">
        <v>19</v>
      </c>
      <c r="F1287" s="385" t="s">
        <v>751</v>
      </c>
      <c r="G1287" s="385" t="s">
        <v>19</v>
      </c>
      <c r="H1287" s="386">
        <v>0</v>
      </c>
      <c r="I1287" s="386">
        <v>192000</v>
      </c>
      <c r="J1287" s="386">
        <v>0</v>
      </c>
      <c r="K1287" s="386">
        <v>112000</v>
      </c>
      <c r="L1287" s="387" t="s">
        <v>752</v>
      </c>
    </row>
    <row r="1288" spans="1:12" hidden="1">
      <c r="A1288" s="385" t="s">
        <v>298</v>
      </c>
      <c r="B1288" s="385" t="s">
        <v>299</v>
      </c>
      <c r="C1288" s="385" t="s">
        <v>527</v>
      </c>
      <c r="D1288" s="385" t="s">
        <v>380</v>
      </c>
      <c r="E1288" s="385" t="s">
        <v>19</v>
      </c>
      <c r="F1288" s="385" t="s">
        <v>467</v>
      </c>
      <c r="G1288" s="385" t="s">
        <v>19</v>
      </c>
      <c r="H1288" s="386">
        <v>0</v>
      </c>
      <c r="I1288" s="386">
        <v>1402387</v>
      </c>
      <c r="J1288" s="386">
        <v>0</v>
      </c>
      <c r="K1288" s="386">
        <v>806721.55</v>
      </c>
      <c r="L1288" s="387" t="s">
        <v>353</v>
      </c>
    </row>
    <row r="1289" spans="1:12" hidden="1">
      <c r="A1289" s="385" t="s">
        <v>298</v>
      </c>
      <c r="B1289" s="385" t="s">
        <v>299</v>
      </c>
      <c r="C1289" s="385" t="s">
        <v>639</v>
      </c>
      <c r="D1289" s="385" t="s">
        <v>380</v>
      </c>
      <c r="E1289" s="385" t="s">
        <v>19</v>
      </c>
      <c r="F1289" s="385" t="s">
        <v>467</v>
      </c>
      <c r="G1289" s="385" t="s">
        <v>19</v>
      </c>
      <c r="H1289" s="386">
        <v>0</v>
      </c>
      <c r="I1289" s="386">
        <v>264924</v>
      </c>
      <c r="J1289" s="386">
        <v>0</v>
      </c>
      <c r="K1289" s="386">
        <v>206350.42</v>
      </c>
      <c r="L1289" s="387" t="s">
        <v>353</v>
      </c>
    </row>
    <row r="1290" spans="1:12" hidden="1">
      <c r="A1290" s="385" t="s">
        <v>298</v>
      </c>
      <c r="B1290" s="385" t="s">
        <v>299</v>
      </c>
      <c r="C1290" s="385" t="s">
        <v>535</v>
      </c>
      <c r="D1290" s="385" t="s">
        <v>380</v>
      </c>
      <c r="E1290" s="385" t="s">
        <v>19</v>
      </c>
      <c r="F1290" s="385" t="s">
        <v>467</v>
      </c>
      <c r="G1290" s="385" t="s">
        <v>19</v>
      </c>
      <c r="H1290" s="386">
        <v>0</v>
      </c>
      <c r="I1290" s="386">
        <v>9672</v>
      </c>
      <c r="J1290" s="386">
        <v>0</v>
      </c>
      <c r="K1290" s="386">
        <v>5106.38</v>
      </c>
      <c r="L1290" s="387" t="s">
        <v>353</v>
      </c>
    </row>
    <row r="1291" spans="1:12" hidden="1">
      <c r="A1291" s="385" t="s">
        <v>298</v>
      </c>
      <c r="B1291" s="385" t="s">
        <v>299</v>
      </c>
      <c r="C1291" s="385" t="s">
        <v>615</v>
      </c>
      <c r="D1291" s="385" t="s">
        <v>380</v>
      </c>
      <c r="E1291" s="385" t="s">
        <v>19</v>
      </c>
      <c r="F1291" s="385" t="s">
        <v>482</v>
      </c>
      <c r="G1291" s="385" t="s">
        <v>19</v>
      </c>
      <c r="H1291" s="386">
        <v>0</v>
      </c>
      <c r="I1291" s="386">
        <v>8620</v>
      </c>
      <c r="J1291" s="386">
        <v>0</v>
      </c>
      <c r="K1291" s="386">
        <v>7636.05</v>
      </c>
      <c r="L1291" s="387" t="s">
        <v>483</v>
      </c>
    </row>
    <row r="1292" spans="1:12" hidden="1">
      <c r="A1292" s="385" t="s">
        <v>298</v>
      </c>
      <c r="B1292" s="385" t="s">
        <v>299</v>
      </c>
      <c r="C1292" s="385" t="s">
        <v>596</v>
      </c>
      <c r="D1292" s="385" t="s">
        <v>380</v>
      </c>
      <c r="E1292" s="385" t="s">
        <v>19</v>
      </c>
      <c r="F1292" s="385" t="s">
        <v>482</v>
      </c>
      <c r="G1292" s="385" t="s">
        <v>19</v>
      </c>
      <c r="H1292" s="386">
        <v>0</v>
      </c>
      <c r="I1292" s="386">
        <v>1539</v>
      </c>
      <c r="J1292" s="386">
        <v>0</v>
      </c>
      <c r="K1292" s="386">
        <v>1362.32</v>
      </c>
      <c r="L1292" s="387" t="s">
        <v>483</v>
      </c>
    </row>
    <row r="1293" spans="1:12" ht="25.5" hidden="1">
      <c r="A1293" s="385" t="s">
        <v>298</v>
      </c>
      <c r="B1293" s="385" t="s">
        <v>300</v>
      </c>
      <c r="C1293" s="385" t="s">
        <v>521</v>
      </c>
      <c r="D1293" s="385" t="s">
        <v>380</v>
      </c>
      <c r="E1293" s="385" t="s">
        <v>19</v>
      </c>
      <c r="F1293" s="385" t="s">
        <v>459</v>
      </c>
      <c r="G1293" s="385" t="s">
        <v>19</v>
      </c>
      <c r="H1293" s="386">
        <v>0</v>
      </c>
      <c r="I1293" s="386">
        <v>2120</v>
      </c>
      <c r="J1293" s="386">
        <v>0</v>
      </c>
      <c r="K1293" s="386">
        <v>1156.0999999999999</v>
      </c>
      <c r="L1293" s="387" t="s">
        <v>460</v>
      </c>
    </row>
    <row r="1294" spans="1:12" hidden="1">
      <c r="A1294" s="385" t="s">
        <v>298</v>
      </c>
      <c r="B1294" s="385" t="s">
        <v>300</v>
      </c>
      <c r="C1294" s="385" t="s">
        <v>616</v>
      </c>
      <c r="D1294" s="385" t="s">
        <v>380</v>
      </c>
      <c r="E1294" s="385" t="s">
        <v>19</v>
      </c>
      <c r="F1294" s="385" t="s">
        <v>467</v>
      </c>
      <c r="G1294" s="385" t="s">
        <v>19</v>
      </c>
      <c r="H1294" s="386">
        <v>0</v>
      </c>
      <c r="I1294" s="386">
        <v>213460</v>
      </c>
      <c r="J1294" s="386">
        <v>0</v>
      </c>
      <c r="K1294" s="386">
        <v>117397.68</v>
      </c>
      <c r="L1294" s="387" t="s">
        <v>353</v>
      </c>
    </row>
    <row r="1295" spans="1:12" ht="25.5" hidden="1">
      <c r="A1295" s="385" t="s">
        <v>298</v>
      </c>
      <c r="B1295" s="385" t="s">
        <v>300</v>
      </c>
      <c r="C1295" s="385" t="s">
        <v>616</v>
      </c>
      <c r="D1295" s="385" t="s">
        <v>380</v>
      </c>
      <c r="E1295" s="385" t="s">
        <v>19</v>
      </c>
      <c r="F1295" s="385" t="s">
        <v>459</v>
      </c>
      <c r="G1295" s="385" t="s">
        <v>19</v>
      </c>
      <c r="H1295" s="386">
        <v>0</v>
      </c>
      <c r="I1295" s="386">
        <v>52080</v>
      </c>
      <c r="J1295" s="386">
        <v>0</v>
      </c>
      <c r="K1295" s="386">
        <v>45519.5</v>
      </c>
      <c r="L1295" s="387" t="s">
        <v>460</v>
      </c>
    </row>
    <row r="1296" spans="1:12" ht="25.5" hidden="1">
      <c r="A1296" s="385" t="s">
        <v>298</v>
      </c>
      <c r="B1296" s="385" t="s">
        <v>300</v>
      </c>
      <c r="C1296" s="385" t="s">
        <v>616</v>
      </c>
      <c r="D1296" s="385" t="s">
        <v>380</v>
      </c>
      <c r="E1296" s="385" t="s">
        <v>19</v>
      </c>
      <c r="F1296" s="385" t="s">
        <v>459</v>
      </c>
      <c r="G1296" s="385" t="s">
        <v>12</v>
      </c>
      <c r="H1296" s="386">
        <v>0</v>
      </c>
      <c r="I1296" s="386">
        <v>1000</v>
      </c>
      <c r="J1296" s="386">
        <v>0</v>
      </c>
      <c r="K1296" s="386">
        <v>975</v>
      </c>
      <c r="L1296" s="387" t="s">
        <v>460</v>
      </c>
    </row>
    <row r="1297" spans="1:12" hidden="1">
      <c r="A1297" s="385" t="s">
        <v>298</v>
      </c>
      <c r="B1297" s="385" t="s">
        <v>300</v>
      </c>
      <c r="C1297" s="385" t="s">
        <v>698</v>
      </c>
      <c r="D1297" s="385" t="s">
        <v>380</v>
      </c>
      <c r="E1297" s="385" t="s">
        <v>19</v>
      </c>
      <c r="F1297" s="385" t="s">
        <v>482</v>
      </c>
      <c r="G1297" s="385" t="s">
        <v>19</v>
      </c>
      <c r="H1297" s="386">
        <v>0</v>
      </c>
      <c r="I1297" s="386">
        <v>2050</v>
      </c>
      <c r="J1297" s="386">
        <v>0</v>
      </c>
      <c r="K1297" s="386">
        <v>1700</v>
      </c>
      <c r="L1297" s="387" t="s">
        <v>483</v>
      </c>
    </row>
    <row r="1298" spans="1:12" ht="25.5" hidden="1">
      <c r="A1298" s="385" t="s">
        <v>298</v>
      </c>
      <c r="B1298" s="385" t="s">
        <v>300</v>
      </c>
      <c r="C1298" s="385" t="s">
        <v>523</v>
      </c>
      <c r="D1298" s="385" t="s">
        <v>380</v>
      </c>
      <c r="E1298" s="385" t="s">
        <v>19</v>
      </c>
      <c r="F1298" s="385" t="s">
        <v>459</v>
      </c>
      <c r="G1298" s="385" t="s">
        <v>19</v>
      </c>
      <c r="H1298" s="386">
        <v>0</v>
      </c>
      <c r="I1298" s="386">
        <v>3401420</v>
      </c>
      <c r="J1298" s="386">
        <v>0</v>
      </c>
      <c r="K1298" s="386">
        <v>2045058.52</v>
      </c>
      <c r="L1298" s="387" t="s">
        <v>460</v>
      </c>
    </row>
    <row r="1299" spans="1:12" ht="25.5" hidden="1">
      <c r="A1299" s="385" t="s">
        <v>298</v>
      </c>
      <c r="B1299" s="385" t="s">
        <v>300</v>
      </c>
      <c r="C1299" s="385" t="s">
        <v>523</v>
      </c>
      <c r="D1299" s="385" t="s">
        <v>380</v>
      </c>
      <c r="E1299" s="385" t="s">
        <v>19</v>
      </c>
      <c r="F1299" s="385" t="s">
        <v>459</v>
      </c>
      <c r="G1299" s="385" t="s">
        <v>12</v>
      </c>
      <c r="H1299" s="386">
        <v>0</v>
      </c>
      <c r="I1299" s="386">
        <v>80000</v>
      </c>
      <c r="J1299" s="386">
        <v>0</v>
      </c>
      <c r="K1299" s="386">
        <v>53336.68</v>
      </c>
      <c r="L1299" s="387" t="s">
        <v>460</v>
      </c>
    </row>
    <row r="1300" spans="1:12" ht="25.5" hidden="1">
      <c r="A1300" s="385" t="s">
        <v>298</v>
      </c>
      <c r="B1300" s="385" t="s">
        <v>300</v>
      </c>
      <c r="C1300" s="385" t="s">
        <v>524</v>
      </c>
      <c r="D1300" s="385" t="s">
        <v>380</v>
      </c>
      <c r="E1300" s="385" t="s">
        <v>19</v>
      </c>
      <c r="F1300" s="385" t="s">
        <v>459</v>
      </c>
      <c r="G1300" s="385" t="s">
        <v>19</v>
      </c>
      <c r="H1300" s="386">
        <v>0</v>
      </c>
      <c r="I1300" s="386">
        <v>208000</v>
      </c>
      <c r="J1300" s="386">
        <v>0</v>
      </c>
      <c r="K1300" s="386">
        <v>205923.47</v>
      </c>
      <c r="L1300" s="387" t="s">
        <v>460</v>
      </c>
    </row>
    <row r="1301" spans="1:12" ht="25.5" hidden="1">
      <c r="A1301" s="385" t="s">
        <v>298</v>
      </c>
      <c r="B1301" s="385" t="s">
        <v>300</v>
      </c>
      <c r="C1301" s="385" t="s">
        <v>525</v>
      </c>
      <c r="D1301" s="385" t="s">
        <v>380</v>
      </c>
      <c r="E1301" s="385" t="s">
        <v>19</v>
      </c>
      <c r="F1301" s="385" t="s">
        <v>459</v>
      </c>
      <c r="G1301" s="385" t="s">
        <v>12</v>
      </c>
      <c r="H1301" s="386">
        <v>0</v>
      </c>
      <c r="I1301" s="386">
        <v>13968</v>
      </c>
      <c r="J1301" s="386">
        <v>0</v>
      </c>
      <c r="K1301" s="386">
        <v>8148</v>
      </c>
      <c r="L1301" s="387" t="s">
        <v>460</v>
      </c>
    </row>
    <row r="1302" spans="1:12" ht="25.5" hidden="1">
      <c r="A1302" s="385" t="s">
        <v>298</v>
      </c>
      <c r="B1302" s="385" t="s">
        <v>300</v>
      </c>
      <c r="C1302" s="385" t="s">
        <v>525</v>
      </c>
      <c r="D1302" s="385" t="s">
        <v>380</v>
      </c>
      <c r="E1302" s="385" t="s">
        <v>19</v>
      </c>
      <c r="F1302" s="385" t="s">
        <v>459</v>
      </c>
      <c r="G1302" s="385" t="s">
        <v>19</v>
      </c>
      <c r="H1302" s="386">
        <v>0</v>
      </c>
      <c r="I1302" s="386">
        <v>626592</v>
      </c>
      <c r="J1302" s="386">
        <v>0</v>
      </c>
      <c r="K1302" s="386">
        <v>343804.83</v>
      </c>
      <c r="L1302" s="387" t="s">
        <v>460</v>
      </c>
    </row>
    <row r="1303" spans="1:12" ht="25.5" hidden="1">
      <c r="A1303" s="385" t="s">
        <v>298</v>
      </c>
      <c r="B1303" s="385" t="s">
        <v>300</v>
      </c>
      <c r="C1303" s="385" t="s">
        <v>526</v>
      </c>
      <c r="D1303" s="385" t="s">
        <v>380</v>
      </c>
      <c r="E1303" s="385" t="s">
        <v>19</v>
      </c>
      <c r="F1303" s="385" t="s">
        <v>459</v>
      </c>
      <c r="G1303" s="385" t="s">
        <v>19</v>
      </c>
      <c r="H1303" s="386">
        <v>0</v>
      </c>
      <c r="I1303" s="386">
        <v>66747</v>
      </c>
      <c r="J1303" s="386">
        <v>0</v>
      </c>
      <c r="K1303" s="386">
        <v>31835.13</v>
      </c>
      <c r="L1303" s="387" t="s">
        <v>460</v>
      </c>
    </row>
    <row r="1304" spans="1:12" ht="25.5" hidden="1">
      <c r="A1304" s="385" t="s">
        <v>298</v>
      </c>
      <c r="B1304" s="385" t="s">
        <v>300</v>
      </c>
      <c r="C1304" s="385" t="s">
        <v>526</v>
      </c>
      <c r="D1304" s="385" t="s">
        <v>380</v>
      </c>
      <c r="E1304" s="385" t="s">
        <v>19</v>
      </c>
      <c r="F1304" s="385" t="s">
        <v>459</v>
      </c>
      <c r="G1304" s="385" t="s">
        <v>12</v>
      </c>
      <c r="H1304" s="386">
        <v>0</v>
      </c>
      <c r="I1304" s="386">
        <v>1960</v>
      </c>
      <c r="J1304" s="386">
        <v>0</v>
      </c>
      <c r="K1304" s="386">
        <v>1143.33</v>
      </c>
      <c r="L1304" s="387" t="s">
        <v>460</v>
      </c>
    </row>
    <row r="1305" spans="1:12" ht="25.5" hidden="1">
      <c r="A1305" s="385" t="s">
        <v>298</v>
      </c>
      <c r="B1305" s="385" t="s">
        <v>300</v>
      </c>
      <c r="C1305" s="385" t="s">
        <v>527</v>
      </c>
      <c r="D1305" s="385" t="s">
        <v>380</v>
      </c>
      <c r="E1305" s="385" t="s">
        <v>19</v>
      </c>
      <c r="F1305" s="385" t="s">
        <v>459</v>
      </c>
      <c r="G1305" s="385" t="s">
        <v>19</v>
      </c>
      <c r="H1305" s="386">
        <v>0</v>
      </c>
      <c r="I1305" s="386">
        <v>54900</v>
      </c>
      <c r="J1305" s="386">
        <v>0</v>
      </c>
      <c r="K1305" s="386">
        <v>41526.879999999997</v>
      </c>
      <c r="L1305" s="387" t="s">
        <v>460</v>
      </c>
    </row>
    <row r="1306" spans="1:12" ht="25.5" hidden="1">
      <c r="A1306" s="385" t="s">
        <v>298</v>
      </c>
      <c r="B1306" s="385" t="s">
        <v>300</v>
      </c>
      <c r="C1306" s="385" t="s">
        <v>528</v>
      </c>
      <c r="D1306" s="385" t="s">
        <v>380</v>
      </c>
      <c r="E1306" s="385" t="s">
        <v>19</v>
      </c>
      <c r="F1306" s="385" t="s">
        <v>459</v>
      </c>
      <c r="G1306" s="385" t="s">
        <v>19</v>
      </c>
      <c r="H1306" s="386">
        <v>0</v>
      </c>
      <c r="I1306" s="386">
        <v>273480</v>
      </c>
      <c r="J1306" s="386">
        <v>0</v>
      </c>
      <c r="K1306" s="386">
        <v>198158.87</v>
      </c>
      <c r="L1306" s="387" t="s">
        <v>460</v>
      </c>
    </row>
    <row r="1307" spans="1:12" ht="25.5" hidden="1">
      <c r="A1307" s="385" t="s">
        <v>298</v>
      </c>
      <c r="B1307" s="385" t="s">
        <v>300</v>
      </c>
      <c r="C1307" s="385" t="s">
        <v>528</v>
      </c>
      <c r="D1307" s="385" t="s">
        <v>380</v>
      </c>
      <c r="E1307" s="385" t="s">
        <v>19</v>
      </c>
      <c r="F1307" s="385" t="s">
        <v>459</v>
      </c>
      <c r="G1307" s="385" t="s">
        <v>12</v>
      </c>
      <c r="H1307" s="386">
        <v>0</v>
      </c>
      <c r="I1307" s="386">
        <v>3000</v>
      </c>
      <c r="J1307" s="386">
        <v>0</v>
      </c>
      <c r="K1307" s="386">
        <v>3845.55</v>
      </c>
      <c r="L1307" s="387" t="s">
        <v>460</v>
      </c>
    </row>
    <row r="1308" spans="1:12" ht="25.5" hidden="1">
      <c r="A1308" s="385" t="s">
        <v>298</v>
      </c>
      <c r="B1308" s="385" t="s">
        <v>300</v>
      </c>
      <c r="C1308" s="385" t="s">
        <v>529</v>
      </c>
      <c r="D1308" s="385" t="s">
        <v>380</v>
      </c>
      <c r="E1308" s="385" t="s">
        <v>19</v>
      </c>
      <c r="F1308" s="385" t="s">
        <v>459</v>
      </c>
      <c r="G1308" s="385" t="s">
        <v>12</v>
      </c>
      <c r="H1308" s="386">
        <v>0</v>
      </c>
      <c r="I1308" s="386">
        <v>9000</v>
      </c>
      <c r="J1308" s="386">
        <v>0</v>
      </c>
      <c r="K1308" s="386">
        <v>5927.15</v>
      </c>
      <c r="L1308" s="387" t="s">
        <v>460</v>
      </c>
    </row>
    <row r="1309" spans="1:12" ht="25.5" hidden="1">
      <c r="A1309" s="385" t="s">
        <v>298</v>
      </c>
      <c r="B1309" s="385" t="s">
        <v>300</v>
      </c>
      <c r="C1309" s="385" t="s">
        <v>529</v>
      </c>
      <c r="D1309" s="385" t="s">
        <v>380</v>
      </c>
      <c r="E1309" s="385" t="s">
        <v>19</v>
      </c>
      <c r="F1309" s="385" t="s">
        <v>459</v>
      </c>
      <c r="G1309" s="385" t="s">
        <v>19</v>
      </c>
      <c r="H1309" s="386">
        <v>0</v>
      </c>
      <c r="I1309" s="386">
        <v>453840</v>
      </c>
      <c r="J1309" s="386">
        <v>0</v>
      </c>
      <c r="K1309" s="386">
        <v>221241.88</v>
      </c>
      <c r="L1309" s="387" t="s">
        <v>460</v>
      </c>
    </row>
    <row r="1310" spans="1:12" ht="25.5" hidden="1">
      <c r="A1310" s="385" t="s">
        <v>298</v>
      </c>
      <c r="B1310" s="385" t="s">
        <v>300</v>
      </c>
      <c r="C1310" s="385" t="s">
        <v>598</v>
      </c>
      <c r="D1310" s="385" t="s">
        <v>380</v>
      </c>
      <c r="E1310" s="385" t="s">
        <v>19</v>
      </c>
      <c r="F1310" s="385" t="s">
        <v>459</v>
      </c>
      <c r="G1310" s="385" t="s">
        <v>12</v>
      </c>
      <c r="H1310" s="386">
        <v>0</v>
      </c>
      <c r="I1310" s="386">
        <v>500</v>
      </c>
      <c r="J1310" s="386">
        <v>0</v>
      </c>
      <c r="K1310" s="386">
        <v>0</v>
      </c>
      <c r="L1310" s="387" t="s">
        <v>460</v>
      </c>
    </row>
    <row r="1311" spans="1:12" ht="25.5" hidden="1">
      <c r="A1311" s="385" t="s">
        <v>298</v>
      </c>
      <c r="B1311" s="385" t="s">
        <v>300</v>
      </c>
      <c r="C1311" s="385" t="s">
        <v>598</v>
      </c>
      <c r="D1311" s="385" t="s">
        <v>380</v>
      </c>
      <c r="E1311" s="385" t="s">
        <v>19</v>
      </c>
      <c r="F1311" s="385" t="s">
        <v>459</v>
      </c>
      <c r="G1311" s="385" t="s">
        <v>19</v>
      </c>
      <c r="H1311" s="386">
        <v>0</v>
      </c>
      <c r="I1311" s="386">
        <v>20000</v>
      </c>
      <c r="J1311" s="386">
        <v>0</v>
      </c>
      <c r="K1311" s="386">
        <v>2186.91</v>
      </c>
      <c r="L1311" s="387" t="s">
        <v>460</v>
      </c>
    </row>
    <row r="1312" spans="1:12" hidden="1">
      <c r="A1312" s="385" t="s">
        <v>298</v>
      </c>
      <c r="B1312" s="385" t="s">
        <v>300</v>
      </c>
      <c r="C1312" s="385" t="s">
        <v>530</v>
      </c>
      <c r="D1312" s="385" t="s">
        <v>380</v>
      </c>
      <c r="E1312" s="385" t="s">
        <v>19</v>
      </c>
      <c r="F1312" s="385" t="s">
        <v>386</v>
      </c>
      <c r="G1312" s="385" t="s">
        <v>19</v>
      </c>
      <c r="H1312" s="386">
        <v>0</v>
      </c>
      <c r="I1312" s="386">
        <v>0</v>
      </c>
      <c r="J1312" s="386">
        <v>0</v>
      </c>
      <c r="K1312" s="386">
        <v>0</v>
      </c>
      <c r="L1312" s="387" t="s">
        <v>387</v>
      </c>
    </row>
    <row r="1313" spans="1:12" ht="25.5" hidden="1">
      <c r="A1313" s="385" t="s">
        <v>298</v>
      </c>
      <c r="B1313" s="385" t="s">
        <v>300</v>
      </c>
      <c r="C1313" s="385" t="s">
        <v>530</v>
      </c>
      <c r="D1313" s="385" t="s">
        <v>380</v>
      </c>
      <c r="E1313" s="385" t="s">
        <v>19</v>
      </c>
      <c r="F1313" s="385" t="s">
        <v>459</v>
      </c>
      <c r="G1313" s="385" t="s">
        <v>12</v>
      </c>
      <c r="H1313" s="386">
        <v>0</v>
      </c>
      <c r="I1313" s="386">
        <v>10000</v>
      </c>
      <c r="J1313" s="386">
        <v>0</v>
      </c>
      <c r="K1313" s="386">
        <v>1673.73</v>
      </c>
      <c r="L1313" s="387" t="s">
        <v>460</v>
      </c>
    </row>
    <row r="1314" spans="1:12" ht="25.5" hidden="1">
      <c r="A1314" s="385" t="s">
        <v>298</v>
      </c>
      <c r="B1314" s="385" t="s">
        <v>300</v>
      </c>
      <c r="C1314" s="385" t="s">
        <v>530</v>
      </c>
      <c r="D1314" s="385" t="s">
        <v>380</v>
      </c>
      <c r="E1314" s="385" t="s">
        <v>19</v>
      </c>
      <c r="F1314" s="385" t="s">
        <v>459</v>
      </c>
      <c r="G1314" s="385" t="s">
        <v>19</v>
      </c>
      <c r="H1314" s="386">
        <v>0</v>
      </c>
      <c r="I1314" s="386">
        <v>163300</v>
      </c>
      <c r="J1314" s="386">
        <v>0</v>
      </c>
      <c r="K1314" s="386">
        <v>88147.59</v>
      </c>
      <c r="L1314" s="387" t="s">
        <v>460</v>
      </c>
    </row>
    <row r="1315" spans="1:12" ht="25.5" hidden="1">
      <c r="A1315" s="385" t="s">
        <v>298</v>
      </c>
      <c r="B1315" s="385" t="s">
        <v>300</v>
      </c>
      <c r="C1315" s="385" t="s">
        <v>416</v>
      </c>
      <c r="D1315" s="385" t="s">
        <v>380</v>
      </c>
      <c r="E1315" s="385" t="s">
        <v>19</v>
      </c>
      <c r="F1315" s="385" t="s">
        <v>459</v>
      </c>
      <c r="G1315" s="385" t="s">
        <v>19</v>
      </c>
      <c r="H1315" s="386">
        <v>0</v>
      </c>
      <c r="I1315" s="386">
        <v>53112</v>
      </c>
      <c r="J1315" s="386">
        <v>0</v>
      </c>
      <c r="K1315" s="386">
        <v>43111.5</v>
      </c>
      <c r="L1315" s="387" t="s">
        <v>460</v>
      </c>
    </row>
    <row r="1316" spans="1:12" ht="25.5" hidden="1">
      <c r="A1316" s="385" t="s">
        <v>298</v>
      </c>
      <c r="B1316" s="385" t="s">
        <v>300</v>
      </c>
      <c r="C1316" s="385" t="s">
        <v>531</v>
      </c>
      <c r="D1316" s="385" t="s">
        <v>380</v>
      </c>
      <c r="E1316" s="385" t="s">
        <v>19</v>
      </c>
      <c r="F1316" s="385" t="s">
        <v>459</v>
      </c>
      <c r="G1316" s="385" t="s">
        <v>19</v>
      </c>
      <c r="H1316" s="386">
        <v>0</v>
      </c>
      <c r="I1316" s="386">
        <v>4000</v>
      </c>
      <c r="J1316" s="386">
        <v>0</v>
      </c>
      <c r="K1316" s="386">
        <v>3841</v>
      </c>
      <c r="L1316" s="387" t="s">
        <v>460</v>
      </c>
    </row>
    <row r="1317" spans="1:12" ht="25.5" hidden="1">
      <c r="A1317" s="385" t="s">
        <v>298</v>
      </c>
      <c r="B1317" s="385" t="s">
        <v>300</v>
      </c>
      <c r="C1317" s="385" t="s">
        <v>510</v>
      </c>
      <c r="D1317" s="385" t="s">
        <v>380</v>
      </c>
      <c r="E1317" s="385" t="s">
        <v>19</v>
      </c>
      <c r="F1317" s="385" t="s">
        <v>459</v>
      </c>
      <c r="G1317" s="385" t="s">
        <v>19</v>
      </c>
      <c r="H1317" s="386">
        <v>0</v>
      </c>
      <c r="I1317" s="386">
        <v>157851</v>
      </c>
      <c r="J1317" s="386">
        <v>0</v>
      </c>
      <c r="K1317" s="386">
        <v>157514.71</v>
      </c>
      <c r="L1317" s="387" t="s">
        <v>460</v>
      </c>
    </row>
    <row r="1318" spans="1:12" ht="25.5" hidden="1">
      <c r="A1318" s="385" t="s">
        <v>298</v>
      </c>
      <c r="B1318" s="385" t="s">
        <v>300</v>
      </c>
      <c r="C1318" s="385" t="s">
        <v>510</v>
      </c>
      <c r="D1318" s="385" t="s">
        <v>380</v>
      </c>
      <c r="E1318" s="385" t="s">
        <v>19</v>
      </c>
      <c r="F1318" s="385" t="s">
        <v>459</v>
      </c>
      <c r="G1318" s="385" t="s">
        <v>12</v>
      </c>
      <c r="H1318" s="386">
        <v>0</v>
      </c>
      <c r="I1318" s="386">
        <v>5529</v>
      </c>
      <c r="J1318" s="386">
        <v>0</v>
      </c>
      <c r="K1318" s="386">
        <v>1104.21</v>
      </c>
      <c r="L1318" s="387" t="s">
        <v>460</v>
      </c>
    </row>
    <row r="1319" spans="1:12" hidden="1">
      <c r="A1319" s="385" t="s">
        <v>298</v>
      </c>
      <c r="B1319" s="385" t="s">
        <v>300</v>
      </c>
      <c r="C1319" s="385" t="s">
        <v>590</v>
      </c>
      <c r="D1319" s="385" t="s">
        <v>380</v>
      </c>
      <c r="E1319" s="385" t="s">
        <v>19</v>
      </c>
      <c r="F1319" s="385" t="s">
        <v>482</v>
      </c>
      <c r="G1319" s="385" t="s">
        <v>19</v>
      </c>
      <c r="H1319" s="386">
        <v>0</v>
      </c>
      <c r="I1319" s="386">
        <v>21380</v>
      </c>
      <c r="J1319" s="386">
        <v>0</v>
      </c>
      <c r="K1319" s="386">
        <v>21380</v>
      </c>
      <c r="L1319" s="387" t="s">
        <v>483</v>
      </c>
    </row>
    <row r="1320" spans="1:12" ht="25.5" hidden="1">
      <c r="A1320" s="385" t="s">
        <v>298</v>
      </c>
      <c r="B1320" s="385" t="s">
        <v>300</v>
      </c>
      <c r="C1320" s="385" t="s">
        <v>532</v>
      </c>
      <c r="D1320" s="385" t="s">
        <v>380</v>
      </c>
      <c r="E1320" s="385" t="s">
        <v>19</v>
      </c>
      <c r="F1320" s="385" t="s">
        <v>459</v>
      </c>
      <c r="G1320" s="385" t="s">
        <v>19</v>
      </c>
      <c r="H1320" s="386">
        <v>0</v>
      </c>
      <c r="I1320" s="386">
        <v>9100</v>
      </c>
      <c r="J1320" s="386">
        <v>0</v>
      </c>
      <c r="K1320" s="386">
        <v>4903.1099999999997</v>
      </c>
      <c r="L1320" s="387" t="s">
        <v>460</v>
      </c>
    </row>
    <row r="1321" spans="1:12" ht="25.5" hidden="1">
      <c r="A1321" s="385" t="s">
        <v>298</v>
      </c>
      <c r="B1321" s="385" t="s">
        <v>300</v>
      </c>
      <c r="C1321" s="385" t="s">
        <v>532</v>
      </c>
      <c r="D1321" s="385" t="s">
        <v>380</v>
      </c>
      <c r="E1321" s="385" t="s">
        <v>19</v>
      </c>
      <c r="F1321" s="385" t="s">
        <v>459</v>
      </c>
      <c r="G1321" s="385" t="s">
        <v>12</v>
      </c>
      <c r="H1321" s="386">
        <v>0</v>
      </c>
      <c r="I1321" s="386">
        <v>120</v>
      </c>
      <c r="J1321" s="386">
        <v>0</v>
      </c>
      <c r="K1321" s="386">
        <v>60</v>
      </c>
      <c r="L1321" s="387" t="s">
        <v>460</v>
      </c>
    </row>
    <row r="1322" spans="1:12" hidden="1">
      <c r="A1322" s="385" t="s">
        <v>298</v>
      </c>
      <c r="B1322" s="385" t="s">
        <v>300</v>
      </c>
      <c r="C1322" s="385" t="s">
        <v>591</v>
      </c>
      <c r="D1322" s="385" t="s">
        <v>380</v>
      </c>
      <c r="E1322" s="385" t="s">
        <v>19</v>
      </c>
      <c r="F1322" s="385" t="s">
        <v>482</v>
      </c>
      <c r="G1322" s="385" t="s">
        <v>19</v>
      </c>
      <c r="H1322" s="386">
        <v>0</v>
      </c>
      <c r="I1322" s="386">
        <v>9241</v>
      </c>
      <c r="J1322" s="386">
        <v>0</v>
      </c>
      <c r="K1322" s="386">
        <v>8832.07</v>
      </c>
      <c r="L1322" s="387" t="s">
        <v>483</v>
      </c>
    </row>
    <row r="1323" spans="1:12" ht="25.5" hidden="1">
      <c r="A1323" s="385" t="s">
        <v>298</v>
      </c>
      <c r="B1323" s="385" t="s">
        <v>300</v>
      </c>
      <c r="C1323" s="385" t="s">
        <v>533</v>
      </c>
      <c r="D1323" s="385" t="s">
        <v>380</v>
      </c>
      <c r="E1323" s="385" t="s">
        <v>19</v>
      </c>
      <c r="F1323" s="385" t="s">
        <v>459</v>
      </c>
      <c r="G1323" s="385" t="s">
        <v>19</v>
      </c>
      <c r="H1323" s="386">
        <v>0</v>
      </c>
      <c r="I1323" s="386">
        <v>6000</v>
      </c>
      <c r="J1323" s="386">
        <v>0</v>
      </c>
      <c r="K1323" s="386">
        <v>3722.04</v>
      </c>
      <c r="L1323" s="387" t="s">
        <v>460</v>
      </c>
    </row>
    <row r="1324" spans="1:12" ht="25.5" hidden="1">
      <c r="A1324" s="385" t="s">
        <v>298</v>
      </c>
      <c r="B1324" s="385" t="s">
        <v>300</v>
      </c>
      <c r="C1324" s="385" t="s">
        <v>534</v>
      </c>
      <c r="D1324" s="385" t="s">
        <v>380</v>
      </c>
      <c r="E1324" s="385" t="s">
        <v>19</v>
      </c>
      <c r="F1324" s="385" t="s">
        <v>459</v>
      </c>
      <c r="G1324" s="385" t="s">
        <v>19</v>
      </c>
      <c r="H1324" s="386">
        <v>0</v>
      </c>
      <c r="I1324" s="386">
        <v>25340</v>
      </c>
      <c r="J1324" s="386">
        <v>0</v>
      </c>
      <c r="K1324" s="386">
        <v>12192.01</v>
      </c>
      <c r="L1324" s="387" t="s">
        <v>460</v>
      </c>
    </row>
    <row r="1325" spans="1:12" ht="25.5" hidden="1">
      <c r="A1325" s="385" t="s">
        <v>298</v>
      </c>
      <c r="B1325" s="385" t="s">
        <v>300</v>
      </c>
      <c r="C1325" s="385" t="s">
        <v>534</v>
      </c>
      <c r="D1325" s="385" t="s">
        <v>380</v>
      </c>
      <c r="E1325" s="385" t="s">
        <v>19</v>
      </c>
      <c r="F1325" s="385" t="s">
        <v>459</v>
      </c>
      <c r="G1325" s="385" t="s">
        <v>12</v>
      </c>
      <c r="H1325" s="386">
        <v>0</v>
      </c>
      <c r="I1325" s="386">
        <v>360</v>
      </c>
      <c r="J1325" s="386">
        <v>0</v>
      </c>
      <c r="K1325" s="386">
        <v>360</v>
      </c>
      <c r="L1325" s="387" t="s">
        <v>460</v>
      </c>
    </row>
    <row r="1326" spans="1:12" ht="25.5" hidden="1">
      <c r="A1326" s="385" t="s">
        <v>298</v>
      </c>
      <c r="B1326" s="385" t="s">
        <v>300</v>
      </c>
      <c r="C1326" s="385" t="s">
        <v>535</v>
      </c>
      <c r="D1326" s="385" t="s">
        <v>380</v>
      </c>
      <c r="E1326" s="385" t="s">
        <v>19</v>
      </c>
      <c r="F1326" s="385" t="s">
        <v>459</v>
      </c>
      <c r="G1326" s="385" t="s">
        <v>19</v>
      </c>
      <c r="H1326" s="386">
        <v>0</v>
      </c>
      <c r="I1326" s="386">
        <v>107312</v>
      </c>
      <c r="J1326" s="386">
        <v>0</v>
      </c>
      <c r="K1326" s="386">
        <v>80484</v>
      </c>
      <c r="L1326" s="387" t="s">
        <v>460</v>
      </c>
    </row>
    <row r="1327" spans="1:12" ht="25.5" hidden="1">
      <c r="A1327" s="385" t="s">
        <v>298</v>
      </c>
      <c r="B1327" s="385" t="s">
        <v>300</v>
      </c>
      <c r="C1327" s="385" t="s">
        <v>546</v>
      </c>
      <c r="D1327" s="385" t="s">
        <v>380</v>
      </c>
      <c r="E1327" s="385" t="s">
        <v>19</v>
      </c>
      <c r="F1327" s="385" t="s">
        <v>459</v>
      </c>
      <c r="G1327" s="385" t="s">
        <v>19</v>
      </c>
      <c r="H1327" s="386">
        <v>0</v>
      </c>
      <c r="I1327" s="386">
        <v>4700</v>
      </c>
      <c r="J1327" s="386">
        <v>0</v>
      </c>
      <c r="K1327" s="386">
        <v>4700</v>
      </c>
      <c r="L1327" s="387" t="s">
        <v>460</v>
      </c>
    </row>
    <row r="1328" spans="1:12" hidden="1">
      <c r="A1328" s="385" t="s">
        <v>298</v>
      </c>
      <c r="B1328" s="385" t="s">
        <v>300</v>
      </c>
      <c r="C1328" s="385" t="s">
        <v>538</v>
      </c>
      <c r="D1328" s="385" t="s">
        <v>380</v>
      </c>
      <c r="E1328" s="385" t="s">
        <v>19</v>
      </c>
      <c r="F1328" s="385" t="s">
        <v>386</v>
      </c>
      <c r="G1328" s="385" t="s">
        <v>19</v>
      </c>
      <c r="H1328" s="386">
        <v>0</v>
      </c>
      <c r="I1328" s="386">
        <v>4600</v>
      </c>
      <c r="J1328" s="386">
        <v>0</v>
      </c>
      <c r="K1328" s="386">
        <v>0</v>
      </c>
      <c r="L1328" s="387" t="s">
        <v>387</v>
      </c>
    </row>
    <row r="1329" spans="1:12" ht="25.5" hidden="1">
      <c r="A1329" s="385" t="s">
        <v>298</v>
      </c>
      <c r="B1329" s="385" t="s">
        <v>300</v>
      </c>
      <c r="C1329" s="385" t="s">
        <v>540</v>
      </c>
      <c r="D1329" s="385" t="s">
        <v>380</v>
      </c>
      <c r="E1329" s="385" t="s">
        <v>19</v>
      </c>
      <c r="F1329" s="385" t="s">
        <v>459</v>
      </c>
      <c r="G1329" s="385" t="s">
        <v>19</v>
      </c>
      <c r="H1329" s="386">
        <v>0</v>
      </c>
      <c r="I1329" s="386">
        <v>15000</v>
      </c>
      <c r="J1329" s="386">
        <v>0</v>
      </c>
      <c r="K1329" s="386">
        <v>1696</v>
      </c>
      <c r="L1329" s="387" t="s">
        <v>460</v>
      </c>
    </row>
    <row r="1330" spans="1:12" ht="25.5" hidden="1">
      <c r="A1330" s="385" t="s">
        <v>298</v>
      </c>
      <c r="B1330" s="385" t="s">
        <v>300</v>
      </c>
      <c r="C1330" s="385" t="s">
        <v>548</v>
      </c>
      <c r="D1330" s="385" t="s">
        <v>380</v>
      </c>
      <c r="E1330" s="385" t="s">
        <v>19</v>
      </c>
      <c r="F1330" s="385" t="s">
        <v>459</v>
      </c>
      <c r="G1330" s="385" t="s">
        <v>19</v>
      </c>
      <c r="H1330" s="386">
        <v>0</v>
      </c>
      <c r="I1330" s="386">
        <v>13000</v>
      </c>
      <c r="J1330" s="386">
        <v>0</v>
      </c>
      <c r="K1330" s="386">
        <v>6611.73</v>
      </c>
      <c r="L1330" s="387" t="s">
        <v>460</v>
      </c>
    </row>
    <row r="1331" spans="1:12" hidden="1">
      <c r="A1331" s="385" t="s">
        <v>298</v>
      </c>
      <c r="B1331" s="385" t="s">
        <v>300</v>
      </c>
      <c r="C1331" s="385" t="s">
        <v>592</v>
      </c>
      <c r="D1331" s="385" t="s">
        <v>380</v>
      </c>
      <c r="E1331" s="385" t="s">
        <v>19</v>
      </c>
      <c r="F1331" s="385" t="s">
        <v>482</v>
      </c>
      <c r="G1331" s="385" t="s">
        <v>19</v>
      </c>
      <c r="H1331" s="386">
        <v>0</v>
      </c>
      <c r="I1331" s="386">
        <v>151760</v>
      </c>
      <c r="J1331" s="386">
        <v>0</v>
      </c>
      <c r="K1331" s="386">
        <v>145034</v>
      </c>
      <c r="L1331" s="387" t="s">
        <v>483</v>
      </c>
    </row>
    <row r="1332" spans="1:12" hidden="1">
      <c r="A1332" s="385" t="s">
        <v>298</v>
      </c>
      <c r="B1332" s="385" t="s">
        <v>300</v>
      </c>
      <c r="C1332" s="385" t="s">
        <v>596</v>
      </c>
      <c r="D1332" s="385" t="s">
        <v>380</v>
      </c>
      <c r="E1332" s="385" t="s">
        <v>19</v>
      </c>
      <c r="F1332" s="385" t="s">
        <v>482</v>
      </c>
      <c r="G1332" s="385" t="s">
        <v>19</v>
      </c>
      <c r="H1332" s="386">
        <v>0</v>
      </c>
      <c r="I1332" s="386">
        <v>30237</v>
      </c>
      <c r="J1332" s="386">
        <v>0</v>
      </c>
      <c r="K1332" s="386">
        <v>25737</v>
      </c>
      <c r="L1332" s="387" t="s">
        <v>483</v>
      </c>
    </row>
    <row r="1333" spans="1:12" hidden="1">
      <c r="A1333" s="385" t="s">
        <v>298</v>
      </c>
      <c r="B1333" s="385" t="s">
        <v>300</v>
      </c>
      <c r="C1333" s="385" t="s">
        <v>597</v>
      </c>
      <c r="D1333" s="385" t="s">
        <v>380</v>
      </c>
      <c r="E1333" s="385" t="s">
        <v>19</v>
      </c>
      <c r="F1333" s="385" t="s">
        <v>482</v>
      </c>
      <c r="G1333" s="385" t="s">
        <v>19</v>
      </c>
      <c r="H1333" s="386">
        <v>0</v>
      </c>
      <c r="I1333" s="386">
        <v>1102</v>
      </c>
      <c r="J1333" s="386">
        <v>0</v>
      </c>
      <c r="K1333" s="386">
        <v>840</v>
      </c>
      <c r="L1333" s="387" t="s">
        <v>483</v>
      </c>
    </row>
    <row r="1334" spans="1:12" ht="25.5" hidden="1">
      <c r="A1334" s="385" t="s">
        <v>298</v>
      </c>
      <c r="B1334" s="385" t="s">
        <v>300</v>
      </c>
      <c r="C1334" s="385" t="s">
        <v>541</v>
      </c>
      <c r="D1334" s="385" t="s">
        <v>380</v>
      </c>
      <c r="E1334" s="385" t="s">
        <v>19</v>
      </c>
      <c r="F1334" s="385" t="s">
        <v>459</v>
      </c>
      <c r="G1334" s="385" t="s">
        <v>19</v>
      </c>
      <c r="H1334" s="386">
        <v>0</v>
      </c>
      <c r="I1334" s="386">
        <v>17909</v>
      </c>
      <c r="J1334" s="386">
        <v>0</v>
      </c>
      <c r="K1334" s="386">
        <v>17908.8</v>
      </c>
      <c r="L1334" s="387" t="s">
        <v>460</v>
      </c>
    </row>
    <row r="1335" spans="1:12" hidden="1">
      <c r="A1335" s="385" t="s">
        <v>298</v>
      </c>
      <c r="B1335" s="385" t="s">
        <v>301</v>
      </c>
      <c r="C1335" s="385" t="s">
        <v>528</v>
      </c>
      <c r="D1335" s="385" t="s">
        <v>380</v>
      </c>
      <c r="E1335" s="385" t="s">
        <v>19</v>
      </c>
      <c r="F1335" s="385" t="s">
        <v>467</v>
      </c>
      <c r="G1335" s="385" t="s">
        <v>19</v>
      </c>
      <c r="H1335" s="386">
        <v>0</v>
      </c>
      <c r="I1335" s="386">
        <v>7500</v>
      </c>
      <c r="J1335" s="386">
        <v>0</v>
      </c>
      <c r="K1335" s="386">
        <v>0</v>
      </c>
      <c r="L1335" s="387" t="s">
        <v>353</v>
      </c>
    </row>
    <row r="1336" spans="1:12" hidden="1">
      <c r="A1336" s="385" t="s">
        <v>298</v>
      </c>
      <c r="B1336" s="385" t="s">
        <v>301</v>
      </c>
      <c r="C1336" s="385" t="s">
        <v>510</v>
      </c>
      <c r="D1336" s="385" t="s">
        <v>380</v>
      </c>
      <c r="E1336" s="385" t="s">
        <v>19</v>
      </c>
      <c r="F1336" s="385" t="s">
        <v>467</v>
      </c>
      <c r="G1336" s="385" t="s">
        <v>19</v>
      </c>
      <c r="H1336" s="386">
        <v>0</v>
      </c>
      <c r="I1336" s="386">
        <v>7500</v>
      </c>
      <c r="J1336" s="386">
        <v>0</v>
      </c>
      <c r="K1336" s="386">
        <v>0</v>
      </c>
      <c r="L1336" s="387" t="s">
        <v>353</v>
      </c>
    </row>
    <row r="1337" spans="1:12" ht="25.5" hidden="1">
      <c r="A1337" s="385" t="s">
        <v>298</v>
      </c>
      <c r="B1337" s="385" t="s">
        <v>301</v>
      </c>
      <c r="C1337" s="385" t="s">
        <v>541</v>
      </c>
      <c r="D1337" s="385" t="s">
        <v>380</v>
      </c>
      <c r="E1337" s="385" t="s">
        <v>19</v>
      </c>
      <c r="F1337" s="385" t="s">
        <v>389</v>
      </c>
      <c r="G1337" s="385" t="s">
        <v>19</v>
      </c>
      <c r="H1337" s="386">
        <v>0</v>
      </c>
      <c r="I1337" s="386">
        <v>30000</v>
      </c>
      <c r="J1337" s="386">
        <v>0</v>
      </c>
      <c r="K1337" s="386">
        <v>0</v>
      </c>
      <c r="L1337" s="387" t="s">
        <v>390</v>
      </c>
    </row>
    <row r="1338" spans="1:12" ht="38.25" hidden="1">
      <c r="A1338" s="385" t="s">
        <v>302</v>
      </c>
      <c r="B1338" s="385" t="s">
        <v>306</v>
      </c>
      <c r="C1338" s="385" t="s">
        <v>515</v>
      </c>
      <c r="D1338" s="385" t="s">
        <v>380</v>
      </c>
      <c r="E1338" s="385" t="s">
        <v>19</v>
      </c>
      <c r="F1338" s="385" t="s">
        <v>441</v>
      </c>
      <c r="G1338" s="385" t="s">
        <v>19</v>
      </c>
      <c r="H1338" s="386">
        <v>0</v>
      </c>
      <c r="I1338" s="386">
        <v>1000</v>
      </c>
      <c r="J1338" s="386">
        <v>0</v>
      </c>
      <c r="K1338" s="386">
        <v>0</v>
      </c>
      <c r="L1338" s="387" t="s">
        <v>442</v>
      </c>
    </row>
    <row r="1339" spans="1:12" ht="38.25" hidden="1">
      <c r="A1339" s="385" t="s">
        <v>302</v>
      </c>
      <c r="B1339" s="385" t="s">
        <v>306</v>
      </c>
      <c r="C1339" s="385" t="s">
        <v>510</v>
      </c>
      <c r="D1339" s="385" t="s">
        <v>380</v>
      </c>
      <c r="E1339" s="385" t="s">
        <v>19</v>
      </c>
      <c r="F1339" s="385" t="s">
        <v>441</v>
      </c>
      <c r="G1339" s="385" t="s">
        <v>19</v>
      </c>
      <c r="H1339" s="386">
        <v>0</v>
      </c>
      <c r="I1339" s="386">
        <v>5000</v>
      </c>
      <c r="J1339" s="386">
        <v>0</v>
      </c>
      <c r="K1339" s="386">
        <v>0</v>
      </c>
      <c r="L1339" s="387" t="s">
        <v>442</v>
      </c>
    </row>
    <row r="1340" spans="1:12" ht="38.25" hidden="1">
      <c r="A1340" s="385" t="s">
        <v>302</v>
      </c>
      <c r="B1340" s="385" t="s">
        <v>306</v>
      </c>
      <c r="C1340" s="385" t="s">
        <v>559</v>
      </c>
      <c r="D1340" s="385" t="s">
        <v>380</v>
      </c>
      <c r="E1340" s="385" t="s">
        <v>19</v>
      </c>
      <c r="F1340" s="385" t="s">
        <v>441</v>
      </c>
      <c r="G1340" s="385" t="s">
        <v>19</v>
      </c>
      <c r="H1340" s="386">
        <v>0</v>
      </c>
      <c r="I1340" s="386">
        <v>5000</v>
      </c>
      <c r="J1340" s="386">
        <v>0</v>
      </c>
      <c r="K1340" s="386">
        <v>0</v>
      </c>
      <c r="L1340" s="387" t="s">
        <v>442</v>
      </c>
    </row>
    <row r="1341" spans="1:12" hidden="1">
      <c r="A1341" s="385" t="s">
        <v>641</v>
      </c>
      <c r="B1341" s="385" t="s">
        <v>642</v>
      </c>
      <c r="C1341" s="385" t="s">
        <v>516</v>
      </c>
      <c r="D1341" s="385" t="s">
        <v>380</v>
      </c>
      <c r="E1341" s="385" t="s">
        <v>19</v>
      </c>
      <c r="F1341" s="385" t="s">
        <v>517</v>
      </c>
      <c r="G1341" s="385" t="s">
        <v>19</v>
      </c>
      <c r="H1341" s="386">
        <v>0</v>
      </c>
      <c r="I1341" s="386">
        <v>65000</v>
      </c>
      <c r="J1341" s="386">
        <v>0</v>
      </c>
      <c r="K1341" s="386">
        <v>43336</v>
      </c>
      <c r="L1341" s="387" t="s">
        <v>518</v>
      </c>
    </row>
    <row r="1342" spans="1:12" hidden="1">
      <c r="A1342" s="385" t="s">
        <v>512</v>
      </c>
      <c r="B1342" s="385" t="s">
        <v>513</v>
      </c>
      <c r="C1342" s="385" t="s">
        <v>521</v>
      </c>
      <c r="D1342" s="385" t="s">
        <v>380</v>
      </c>
      <c r="E1342" s="385" t="s">
        <v>19</v>
      </c>
      <c r="F1342" s="385" t="s">
        <v>471</v>
      </c>
      <c r="G1342" s="385" t="s">
        <v>19</v>
      </c>
      <c r="H1342" s="386">
        <v>0</v>
      </c>
      <c r="I1342" s="386">
        <v>16139</v>
      </c>
      <c r="J1342" s="386">
        <v>0</v>
      </c>
      <c r="K1342" s="386">
        <v>4616.4399999999996</v>
      </c>
      <c r="L1342" s="387" t="s">
        <v>472</v>
      </c>
    </row>
    <row r="1343" spans="1:12" hidden="1">
      <c r="A1343" s="385" t="s">
        <v>512</v>
      </c>
      <c r="B1343" s="385" t="s">
        <v>513</v>
      </c>
      <c r="C1343" s="385" t="s">
        <v>523</v>
      </c>
      <c r="D1343" s="385" t="s">
        <v>380</v>
      </c>
      <c r="E1343" s="385" t="s">
        <v>19</v>
      </c>
      <c r="F1343" s="385" t="s">
        <v>471</v>
      </c>
      <c r="G1343" s="385" t="s">
        <v>19</v>
      </c>
      <c r="H1343" s="386">
        <v>0</v>
      </c>
      <c r="I1343" s="386">
        <v>1126000</v>
      </c>
      <c r="J1343" s="386">
        <v>0</v>
      </c>
      <c r="K1343" s="386">
        <v>819586.01</v>
      </c>
      <c r="L1343" s="387" t="s">
        <v>472</v>
      </c>
    </row>
    <row r="1344" spans="1:12" hidden="1">
      <c r="A1344" s="385" t="s">
        <v>512</v>
      </c>
      <c r="B1344" s="385" t="s">
        <v>513</v>
      </c>
      <c r="C1344" s="385" t="s">
        <v>524</v>
      </c>
      <c r="D1344" s="385" t="s">
        <v>380</v>
      </c>
      <c r="E1344" s="385" t="s">
        <v>19</v>
      </c>
      <c r="F1344" s="385" t="s">
        <v>471</v>
      </c>
      <c r="G1344" s="385" t="s">
        <v>19</v>
      </c>
      <c r="H1344" s="386">
        <v>0</v>
      </c>
      <c r="I1344" s="386">
        <v>90000</v>
      </c>
      <c r="J1344" s="386">
        <v>0</v>
      </c>
      <c r="K1344" s="386">
        <v>89555.38</v>
      </c>
      <c r="L1344" s="387" t="s">
        <v>472</v>
      </c>
    </row>
    <row r="1345" spans="1:12" hidden="1">
      <c r="A1345" s="385" t="s">
        <v>512</v>
      </c>
      <c r="B1345" s="385" t="s">
        <v>513</v>
      </c>
      <c r="C1345" s="385" t="s">
        <v>525</v>
      </c>
      <c r="D1345" s="385" t="s">
        <v>380</v>
      </c>
      <c r="E1345" s="385" t="s">
        <v>19</v>
      </c>
      <c r="F1345" s="385" t="s">
        <v>471</v>
      </c>
      <c r="G1345" s="385" t="s">
        <v>19</v>
      </c>
      <c r="H1345" s="386">
        <v>0</v>
      </c>
      <c r="I1345" s="386">
        <v>225000</v>
      </c>
      <c r="J1345" s="386">
        <v>0</v>
      </c>
      <c r="K1345" s="386">
        <v>142132.56</v>
      </c>
      <c r="L1345" s="387" t="s">
        <v>472</v>
      </c>
    </row>
    <row r="1346" spans="1:12" hidden="1">
      <c r="A1346" s="385" t="s">
        <v>512</v>
      </c>
      <c r="B1346" s="385" t="s">
        <v>513</v>
      </c>
      <c r="C1346" s="385" t="s">
        <v>526</v>
      </c>
      <c r="D1346" s="385" t="s">
        <v>380</v>
      </c>
      <c r="E1346" s="385" t="s">
        <v>19</v>
      </c>
      <c r="F1346" s="385" t="s">
        <v>471</v>
      </c>
      <c r="G1346" s="385" t="s">
        <v>19</v>
      </c>
      <c r="H1346" s="386">
        <v>0</v>
      </c>
      <c r="I1346" s="386">
        <v>28881</v>
      </c>
      <c r="J1346" s="386">
        <v>0</v>
      </c>
      <c r="K1346" s="386">
        <v>12546.59</v>
      </c>
      <c r="L1346" s="387" t="s">
        <v>472</v>
      </c>
    </row>
    <row r="1347" spans="1:12" hidden="1">
      <c r="A1347" s="385" t="s">
        <v>512</v>
      </c>
      <c r="B1347" s="385" t="s">
        <v>513</v>
      </c>
      <c r="C1347" s="385" t="s">
        <v>527</v>
      </c>
      <c r="D1347" s="385" t="s">
        <v>380</v>
      </c>
      <c r="E1347" s="385" t="s">
        <v>19</v>
      </c>
      <c r="F1347" s="385" t="s">
        <v>471</v>
      </c>
      <c r="G1347" s="385" t="s">
        <v>19</v>
      </c>
      <c r="H1347" s="386">
        <v>0</v>
      </c>
      <c r="I1347" s="386">
        <v>44000</v>
      </c>
      <c r="J1347" s="386">
        <v>0</v>
      </c>
      <c r="K1347" s="386">
        <v>41839.599999999999</v>
      </c>
      <c r="L1347" s="387" t="s">
        <v>472</v>
      </c>
    </row>
    <row r="1348" spans="1:12" hidden="1">
      <c r="A1348" s="385" t="s">
        <v>512</v>
      </c>
      <c r="B1348" s="385" t="s">
        <v>513</v>
      </c>
      <c r="C1348" s="385" t="s">
        <v>528</v>
      </c>
      <c r="D1348" s="385" t="s">
        <v>380</v>
      </c>
      <c r="E1348" s="385" t="s">
        <v>19</v>
      </c>
      <c r="F1348" s="385" t="s">
        <v>471</v>
      </c>
      <c r="G1348" s="385" t="s">
        <v>19</v>
      </c>
      <c r="H1348" s="386">
        <v>0</v>
      </c>
      <c r="I1348" s="386">
        <v>87040</v>
      </c>
      <c r="J1348" s="386">
        <v>0</v>
      </c>
      <c r="K1348" s="386">
        <v>76693.31</v>
      </c>
      <c r="L1348" s="387" t="s">
        <v>472</v>
      </c>
    </row>
    <row r="1349" spans="1:12" hidden="1">
      <c r="A1349" s="385" t="s">
        <v>512</v>
      </c>
      <c r="B1349" s="385" t="s">
        <v>513</v>
      </c>
      <c r="C1349" s="385" t="s">
        <v>530</v>
      </c>
      <c r="D1349" s="385" t="s">
        <v>380</v>
      </c>
      <c r="E1349" s="385" t="s">
        <v>19</v>
      </c>
      <c r="F1349" s="385" t="s">
        <v>386</v>
      </c>
      <c r="G1349" s="385" t="s">
        <v>19</v>
      </c>
      <c r="H1349" s="386">
        <v>0</v>
      </c>
      <c r="I1349" s="386">
        <v>250000</v>
      </c>
      <c r="J1349" s="386">
        <v>0</v>
      </c>
      <c r="K1349" s="386">
        <v>0</v>
      </c>
      <c r="L1349" s="387" t="s">
        <v>387</v>
      </c>
    </row>
    <row r="1350" spans="1:12" hidden="1">
      <c r="A1350" s="385" t="s">
        <v>512</v>
      </c>
      <c r="B1350" s="385" t="s">
        <v>513</v>
      </c>
      <c r="C1350" s="385" t="s">
        <v>530</v>
      </c>
      <c r="D1350" s="385" t="s">
        <v>380</v>
      </c>
      <c r="E1350" s="385" t="s">
        <v>19</v>
      </c>
      <c r="F1350" s="385" t="s">
        <v>471</v>
      </c>
      <c r="G1350" s="385" t="s">
        <v>19</v>
      </c>
      <c r="H1350" s="386">
        <v>0</v>
      </c>
      <c r="I1350" s="386">
        <v>980000</v>
      </c>
      <c r="J1350" s="386">
        <v>0</v>
      </c>
      <c r="K1350" s="386">
        <v>709925.65</v>
      </c>
      <c r="L1350" s="387" t="s">
        <v>472</v>
      </c>
    </row>
    <row r="1351" spans="1:12" hidden="1">
      <c r="A1351" s="385" t="s">
        <v>512</v>
      </c>
      <c r="B1351" s="385" t="s">
        <v>513</v>
      </c>
      <c r="C1351" s="385" t="s">
        <v>416</v>
      </c>
      <c r="D1351" s="385" t="s">
        <v>380</v>
      </c>
      <c r="E1351" s="385" t="s">
        <v>19</v>
      </c>
      <c r="F1351" s="385" t="s">
        <v>471</v>
      </c>
      <c r="G1351" s="385" t="s">
        <v>19</v>
      </c>
      <c r="H1351" s="386">
        <v>0</v>
      </c>
      <c r="I1351" s="386">
        <v>48000</v>
      </c>
      <c r="J1351" s="386">
        <v>0</v>
      </c>
      <c r="K1351" s="386">
        <v>26177.94</v>
      </c>
      <c r="L1351" s="387" t="s">
        <v>472</v>
      </c>
    </row>
    <row r="1352" spans="1:12" hidden="1">
      <c r="A1352" s="385" t="s">
        <v>512</v>
      </c>
      <c r="B1352" s="385" t="s">
        <v>513</v>
      </c>
      <c r="C1352" s="385" t="s">
        <v>531</v>
      </c>
      <c r="D1352" s="385" t="s">
        <v>380</v>
      </c>
      <c r="E1352" s="385" t="s">
        <v>19</v>
      </c>
      <c r="F1352" s="385" t="s">
        <v>471</v>
      </c>
      <c r="G1352" s="385" t="s">
        <v>19</v>
      </c>
      <c r="H1352" s="386">
        <v>0</v>
      </c>
      <c r="I1352" s="386">
        <v>2500</v>
      </c>
      <c r="J1352" s="386">
        <v>0</v>
      </c>
      <c r="K1352" s="386">
        <v>870</v>
      </c>
      <c r="L1352" s="387" t="s">
        <v>472</v>
      </c>
    </row>
    <row r="1353" spans="1:12" hidden="1">
      <c r="A1353" s="385" t="s">
        <v>512</v>
      </c>
      <c r="B1353" s="385" t="s">
        <v>513</v>
      </c>
      <c r="C1353" s="385" t="s">
        <v>510</v>
      </c>
      <c r="D1353" s="385" t="s">
        <v>380</v>
      </c>
      <c r="E1353" s="385" t="s">
        <v>19</v>
      </c>
      <c r="F1353" s="385" t="s">
        <v>471</v>
      </c>
      <c r="G1353" s="385" t="s">
        <v>19</v>
      </c>
      <c r="H1353" s="386">
        <v>0</v>
      </c>
      <c r="I1353" s="386">
        <v>275130</v>
      </c>
      <c r="J1353" s="386">
        <v>0</v>
      </c>
      <c r="K1353" s="386">
        <v>226145.31</v>
      </c>
      <c r="L1353" s="387" t="s">
        <v>472</v>
      </c>
    </row>
    <row r="1354" spans="1:12" hidden="1">
      <c r="A1354" s="385" t="s">
        <v>512</v>
      </c>
      <c r="B1354" s="385" t="s">
        <v>513</v>
      </c>
      <c r="C1354" s="385" t="s">
        <v>532</v>
      </c>
      <c r="D1354" s="385" t="s">
        <v>380</v>
      </c>
      <c r="E1354" s="385" t="s">
        <v>19</v>
      </c>
      <c r="F1354" s="385" t="s">
        <v>471</v>
      </c>
      <c r="G1354" s="385" t="s">
        <v>19</v>
      </c>
      <c r="H1354" s="386">
        <v>0</v>
      </c>
      <c r="I1354" s="386">
        <v>4600</v>
      </c>
      <c r="J1354" s="386">
        <v>0</v>
      </c>
      <c r="K1354" s="386">
        <v>3873.15</v>
      </c>
      <c r="L1354" s="387" t="s">
        <v>472</v>
      </c>
    </row>
    <row r="1355" spans="1:12" hidden="1">
      <c r="A1355" s="385" t="s">
        <v>512</v>
      </c>
      <c r="B1355" s="385" t="s">
        <v>513</v>
      </c>
      <c r="C1355" s="385" t="s">
        <v>559</v>
      </c>
      <c r="D1355" s="385" t="s">
        <v>380</v>
      </c>
      <c r="E1355" s="385" t="s">
        <v>19</v>
      </c>
      <c r="F1355" s="385" t="s">
        <v>471</v>
      </c>
      <c r="G1355" s="385" t="s">
        <v>19</v>
      </c>
      <c r="H1355" s="386">
        <v>0</v>
      </c>
      <c r="I1355" s="386">
        <v>10800</v>
      </c>
      <c r="J1355" s="386">
        <v>0</v>
      </c>
      <c r="K1355" s="386">
        <v>4459.9799999999996</v>
      </c>
      <c r="L1355" s="387" t="s">
        <v>472</v>
      </c>
    </row>
    <row r="1356" spans="1:12" ht="25.5" hidden="1">
      <c r="A1356" s="385" t="s">
        <v>512</v>
      </c>
      <c r="B1356" s="385" t="s">
        <v>513</v>
      </c>
      <c r="C1356" s="385" t="s">
        <v>559</v>
      </c>
      <c r="D1356" s="385" t="s">
        <v>380</v>
      </c>
      <c r="E1356" s="385" t="s">
        <v>19</v>
      </c>
      <c r="F1356" s="385" t="s">
        <v>389</v>
      </c>
      <c r="G1356" s="385" t="s">
        <v>19</v>
      </c>
      <c r="H1356" s="386">
        <v>0</v>
      </c>
      <c r="I1356" s="386">
        <v>17500</v>
      </c>
      <c r="J1356" s="386">
        <v>0</v>
      </c>
      <c r="K1356" s="386">
        <v>17466</v>
      </c>
      <c r="L1356" s="387" t="s">
        <v>390</v>
      </c>
    </row>
    <row r="1357" spans="1:12" hidden="1">
      <c r="A1357" s="385" t="s">
        <v>512</v>
      </c>
      <c r="B1357" s="385" t="s">
        <v>513</v>
      </c>
      <c r="C1357" s="385" t="s">
        <v>533</v>
      </c>
      <c r="D1357" s="385" t="s">
        <v>380</v>
      </c>
      <c r="E1357" s="385" t="s">
        <v>19</v>
      </c>
      <c r="F1357" s="385" t="s">
        <v>471</v>
      </c>
      <c r="G1357" s="385" t="s">
        <v>19</v>
      </c>
      <c r="H1357" s="386">
        <v>0</v>
      </c>
      <c r="I1357" s="386">
        <v>800</v>
      </c>
      <c r="J1357" s="386">
        <v>0</v>
      </c>
      <c r="K1357" s="386">
        <v>99.12</v>
      </c>
      <c r="L1357" s="387" t="s">
        <v>472</v>
      </c>
    </row>
    <row r="1358" spans="1:12" hidden="1">
      <c r="A1358" s="385" t="s">
        <v>512</v>
      </c>
      <c r="B1358" s="385" t="s">
        <v>513</v>
      </c>
      <c r="C1358" s="385" t="s">
        <v>535</v>
      </c>
      <c r="D1358" s="385" t="s">
        <v>380</v>
      </c>
      <c r="E1358" s="385" t="s">
        <v>19</v>
      </c>
      <c r="F1358" s="385" t="s">
        <v>471</v>
      </c>
      <c r="G1358" s="385" t="s">
        <v>19</v>
      </c>
      <c r="H1358" s="386">
        <v>0</v>
      </c>
      <c r="I1358" s="386">
        <v>66299</v>
      </c>
      <c r="J1358" s="386">
        <v>0</v>
      </c>
      <c r="K1358" s="386">
        <v>49724.25</v>
      </c>
      <c r="L1358" s="387" t="s">
        <v>472</v>
      </c>
    </row>
    <row r="1359" spans="1:12" hidden="1">
      <c r="A1359" s="385" t="s">
        <v>512</v>
      </c>
      <c r="B1359" s="385" t="s">
        <v>513</v>
      </c>
      <c r="C1359" s="385" t="s">
        <v>546</v>
      </c>
      <c r="D1359" s="385" t="s">
        <v>380</v>
      </c>
      <c r="E1359" s="385" t="s">
        <v>19</v>
      </c>
      <c r="F1359" s="385" t="s">
        <v>471</v>
      </c>
      <c r="G1359" s="385" t="s">
        <v>19</v>
      </c>
      <c r="H1359" s="386">
        <v>0</v>
      </c>
      <c r="I1359" s="386">
        <v>25500</v>
      </c>
      <c r="J1359" s="386">
        <v>0</v>
      </c>
      <c r="K1359" s="386">
        <v>17317</v>
      </c>
      <c r="L1359" s="387" t="s">
        <v>472</v>
      </c>
    </row>
    <row r="1360" spans="1:12" hidden="1">
      <c r="A1360" s="385" t="s">
        <v>512</v>
      </c>
      <c r="B1360" s="385" t="s">
        <v>513</v>
      </c>
      <c r="C1360" s="385" t="s">
        <v>537</v>
      </c>
      <c r="D1360" s="385" t="s">
        <v>380</v>
      </c>
      <c r="E1360" s="385" t="s">
        <v>19</v>
      </c>
      <c r="F1360" s="385" t="s">
        <v>471</v>
      </c>
      <c r="G1360" s="385" t="s">
        <v>19</v>
      </c>
      <c r="H1360" s="386">
        <v>0</v>
      </c>
      <c r="I1360" s="386">
        <v>200</v>
      </c>
      <c r="J1360" s="386">
        <v>0</v>
      </c>
      <c r="K1360" s="386">
        <v>0</v>
      </c>
      <c r="L1360" s="387" t="s">
        <v>472</v>
      </c>
    </row>
    <row r="1361" spans="1:12" hidden="1">
      <c r="A1361" s="385" t="s">
        <v>512</v>
      </c>
      <c r="B1361" s="385" t="s">
        <v>513</v>
      </c>
      <c r="C1361" s="385" t="s">
        <v>538</v>
      </c>
      <c r="D1361" s="385" t="s">
        <v>380</v>
      </c>
      <c r="E1361" s="385" t="s">
        <v>19</v>
      </c>
      <c r="F1361" s="385" t="s">
        <v>386</v>
      </c>
      <c r="G1361" s="385" t="s">
        <v>19</v>
      </c>
      <c r="H1361" s="386">
        <v>0</v>
      </c>
      <c r="I1361" s="386">
        <v>175000</v>
      </c>
      <c r="J1361" s="386">
        <v>0</v>
      </c>
      <c r="K1361" s="386">
        <v>0</v>
      </c>
      <c r="L1361" s="387" t="s">
        <v>387</v>
      </c>
    </row>
    <row r="1362" spans="1:12" hidden="1">
      <c r="A1362" s="385" t="s">
        <v>512</v>
      </c>
      <c r="B1362" s="385" t="s">
        <v>513</v>
      </c>
      <c r="C1362" s="385" t="s">
        <v>539</v>
      </c>
      <c r="D1362" s="385" t="s">
        <v>380</v>
      </c>
      <c r="E1362" s="385" t="s">
        <v>19</v>
      </c>
      <c r="F1362" s="385" t="s">
        <v>471</v>
      </c>
      <c r="G1362" s="385" t="s">
        <v>19</v>
      </c>
      <c r="H1362" s="386">
        <v>0</v>
      </c>
      <c r="I1362" s="386">
        <v>131</v>
      </c>
      <c r="J1362" s="386">
        <v>0</v>
      </c>
      <c r="K1362" s="386">
        <v>130.5</v>
      </c>
      <c r="L1362" s="387" t="s">
        <v>472</v>
      </c>
    </row>
    <row r="1363" spans="1:12" hidden="1">
      <c r="A1363" s="385" t="s">
        <v>512</v>
      </c>
      <c r="B1363" s="385" t="s">
        <v>513</v>
      </c>
      <c r="C1363" s="385" t="s">
        <v>540</v>
      </c>
      <c r="D1363" s="385" t="s">
        <v>380</v>
      </c>
      <c r="E1363" s="385" t="s">
        <v>19</v>
      </c>
      <c r="F1363" s="385" t="s">
        <v>471</v>
      </c>
      <c r="G1363" s="385" t="s">
        <v>19</v>
      </c>
      <c r="H1363" s="386">
        <v>0</v>
      </c>
      <c r="I1363" s="386">
        <v>5980</v>
      </c>
      <c r="J1363" s="386">
        <v>0</v>
      </c>
      <c r="K1363" s="386">
        <v>5220.0200000000004</v>
      </c>
      <c r="L1363" s="387" t="s">
        <v>472</v>
      </c>
    </row>
    <row r="1364" spans="1:12" hidden="1">
      <c r="A1364" s="385" t="s">
        <v>512</v>
      </c>
      <c r="B1364" s="385" t="s">
        <v>513</v>
      </c>
      <c r="C1364" s="385" t="s">
        <v>548</v>
      </c>
      <c r="D1364" s="385" t="s">
        <v>380</v>
      </c>
      <c r="E1364" s="385" t="s">
        <v>19</v>
      </c>
      <c r="F1364" s="385" t="s">
        <v>471</v>
      </c>
      <c r="G1364" s="385" t="s">
        <v>19</v>
      </c>
      <c r="H1364" s="386">
        <v>0</v>
      </c>
      <c r="I1364" s="386">
        <v>3000</v>
      </c>
      <c r="J1364" s="386">
        <v>0</v>
      </c>
      <c r="K1364" s="386">
        <v>1267.01</v>
      </c>
      <c r="L1364" s="387" t="s">
        <v>472</v>
      </c>
    </row>
    <row r="1365" spans="1:12" ht="25.5" hidden="1">
      <c r="A1365" s="385" t="s">
        <v>512</v>
      </c>
      <c r="B1365" s="385" t="s">
        <v>513</v>
      </c>
      <c r="C1365" s="385" t="s">
        <v>541</v>
      </c>
      <c r="D1365" s="385" t="s">
        <v>380</v>
      </c>
      <c r="E1365" s="385" t="s">
        <v>19</v>
      </c>
      <c r="F1365" s="385" t="s">
        <v>389</v>
      </c>
      <c r="G1365" s="385" t="s">
        <v>19</v>
      </c>
      <c r="H1365" s="386">
        <v>0</v>
      </c>
      <c r="I1365" s="386">
        <v>85022</v>
      </c>
      <c r="J1365" s="386">
        <v>0</v>
      </c>
      <c r="K1365" s="386">
        <v>0</v>
      </c>
      <c r="L1365" s="387" t="s">
        <v>390</v>
      </c>
    </row>
    <row r="1366" spans="1:12" hidden="1">
      <c r="A1366" s="385" t="s">
        <v>512</v>
      </c>
      <c r="B1366" s="385" t="s">
        <v>312</v>
      </c>
      <c r="C1366" s="385" t="s">
        <v>516</v>
      </c>
      <c r="D1366" s="385" t="s">
        <v>380</v>
      </c>
      <c r="E1366" s="385" t="s">
        <v>19</v>
      </c>
      <c r="F1366" s="385" t="s">
        <v>517</v>
      </c>
      <c r="G1366" s="385" t="s">
        <v>19</v>
      </c>
      <c r="H1366" s="386">
        <v>0</v>
      </c>
      <c r="I1366" s="386">
        <v>50000</v>
      </c>
      <c r="J1366" s="386">
        <v>0</v>
      </c>
      <c r="K1366" s="386">
        <v>30000</v>
      </c>
      <c r="L1366" s="387" t="s">
        <v>518</v>
      </c>
    </row>
    <row r="1367" spans="1:12" hidden="1">
      <c r="A1367" s="385" t="s">
        <v>512</v>
      </c>
      <c r="B1367" s="385" t="s">
        <v>514</v>
      </c>
      <c r="C1367" s="385" t="s">
        <v>528</v>
      </c>
      <c r="D1367" s="385" t="s">
        <v>380</v>
      </c>
      <c r="E1367" s="385" t="s">
        <v>19</v>
      </c>
      <c r="F1367" s="385" t="s">
        <v>439</v>
      </c>
      <c r="G1367" s="385" t="s">
        <v>19</v>
      </c>
      <c r="H1367" s="386">
        <v>0</v>
      </c>
      <c r="I1367" s="386">
        <v>10000</v>
      </c>
      <c r="J1367" s="386">
        <v>0</v>
      </c>
      <c r="K1367" s="386">
        <v>1000</v>
      </c>
      <c r="L1367" s="387" t="s">
        <v>79</v>
      </c>
    </row>
    <row r="1368" spans="1:12" ht="25.5" hidden="1">
      <c r="A1368" s="385" t="s">
        <v>512</v>
      </c>
      <c r="B1368" s="385" t="s">
        <v>514</v>
      </c>
      <c r="C1368" s="385" t="s">
        <v>528</v>
      </c>
      <c r="D1368" s="385" t="s">
        <v>380</v>
      </c>
      <c r="E1368" s="385" t="s">
        <v>19</v>
      </c>
      <c r="F1368" s="385" t="s">
        <v>488</v>
      </c>
      <c r="G1368" s="385" t="s">
        <v>19</v>
      </c>
      <c r="H1368" s="386">
        <v>0</v>
      </c>
      <c r="I1368" s="386">
        <v>2000</v>
      </c>
      <c r="J1368" s="386">
        <v>0</v>
      </c>
      <c r="K1368" s="386">
        <v>0</v>
      </c>
      <c r="L1368" s="387" t="s">
        <v>489</v>
      </c>
    </row>
    <row r="1369" spans="1:12" hidden="1">
      <c r="A1369" s="385" t="s">
        <v>512</v>
      </c>
      <c r="B1369" s="385" t="s">
        <v>514</v>
      </c>
      <c r="C1369" s="385" t="s">
        <v>510</v>
      </c>
      <c r="D1369" s="385" t="s">
        <v>380</v>
      </c>
      <c r="E1369" s="385" t="s">
        <v>19</v>
      </c>
      <c r="F1369" s="385" t="s">
        <v>439</v>
      </c>
      <c r="G1369" s="385" t="s">
        <v>19</v>
      </c>
      <c r="H1369" s="386">
        <v>0</v>
      </c>
      <c r="I1369" s="386">
        <v>10000</v>
      </c>
      <c r="J1369" s="386">
        <v>0</v>
      </c>
      <c r="K1369" s="386">
        <v>4618.97</v>
      </c>
      <c r="L1369" s="387" t="s">
        <v>79</v>
      </c>
    </row>
    <row r="1370" spans="1:12" ht="25.5" hidden="1">
      <c r="A1370" s="385" t="s">
        <v>512</v>
      </c>
      <c r="B1370" s="385" t="s">
        <v>514</v>
      </c>
      <c r="C1370" s="385" t="s">
        <v>510</v>
      </c>
      <c r="D1370" s="385" t="s">
        <v>380</v>
      </c>
      <c r="E1370" s="385" t="s">
        <v>19</v>
      </c>
      <c r="F1370" s="385" t="s">
        <v>488</v>
      </c>
      <c r="G1370" s="385" t="s">
        <v>19</v>
      </c>
      <c r="H1370" s="386">
        <v>0</v>
      </c>
      <c r="I1370" s="386">
        <v>16000</v>
      </c>
      <c r="J1370" s="386">
        <v>0</v>
      </c>
      <c r="K1370" s="386">
        <v>15763.6</v>
      </c>
      <c r="L1370" s="387" t="s">
        <v>489</v>
      </c>
    </row>
    <row r="1371" spans="1:12" hidden="1">
      <c r="A1371" s="388"/>
      <c r="B1371" s="389"/>
      <c r="C1371" s="389"/>
      <c r="D1371" s="389"/>
      <c r="E1371" s="389"/>
      <c r="F1371" s="389"/>
      <c r="G1371" s="389"/>
      <c r="H1371" s="390">
        <v>185469314.07000002</v>
      </c>
      <c r="I1371" s="390">
        <v>195589854.10000002</v>
      </c>
      <c r="J1371" s="390">
        <v>133230478.25999996</v>
      </c>
      <c r="K1371" s="390">
        <v>114359170.53000002</v>
      </c>
      <c r="L1371" s="391"/>
    </row>
    <row r="1372" spans="1:12" hidden="1">
      <c r="I1372" s="394">
        <f>I521+I522+I523+I524+I525+I526+I527+I528+I529+I530</f>
        <v>208095.71</v>
      </c>
    </row>
    <row r="1373" spans="1:12">
      <c r="H1373" s="384">
        <f>SUBTOTAL(9,H2:H1372)</f>
        <v>818169</v>
      </c>
      <c r="I1373" s="394">
        <f>SUBTOTAL(9,I2:I1372)</f>
        <v>1154499.5</v>
      </c>
      <c r="J1373" s="384">
        <f t="shared" ref="J1373:K1373" si="0">SUBTOTAL(9,J2:J1372)</f>
        <v>0</v>
      </c>
      <c r="K1373" s="384">
        <f t="shared" si="0"/>
        <v>271582.64</v>
      </c>
    </row>
    <row r="1374" spans="1:12">
      <c r="I1374" s="394"/>
    </row>
    <row r="1381" spans="10:10">
      <c r="J1381" s="394">
        <f>15696737-16828299</f>
        <v>-1131562</v>
      </c>
    </row>
  </sheetData>
  <autoFilter ref="A1:L1372" xr:uid="{D825FB6E-C40E-47E7-9ADE-50DBE65248EA}">
    <filterColumn colId="1">
      <filters>
        <filter val="80195"/>
      </filters>
    </filterColumn>
    <filterColumn colId="5">
      <filters>
        <filter val="79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Nazwane zakresy</vt:lpstr>
      </vt:variant>
      <vt:variant>
        <vt:i4>8</vt:i4>
      </vt:variant>
    </vt:vector>
  </HeadingPairs>
  <TitlesOfParts>
    <vt:vector size="14" baseType="lpstr">
      <vt:lpstr>dochody </vt:lpstr>
      <vt:lpstr>wydatki własne</vt:lpstr>
      <vt:lpstr>wydatki zlecone </vt:lpstr>
      <vt:lpstr>wydatki pow</vt:lpstr>
      <vt:lpstr>wyd. inw</vt:lpstr>
      <vt:lpstr>Wykonanie 8 2025</vt:lpstr>
      <vt:lpstr>'dochody '!Obszar_wydruku</vt:lpstr>
      <vt:lpstr>'wyd. inw'!Obszar_wydruku</vt:lpstr>
      <vt:lpstr>'wydatki pow'!Obszar_wydruku</vt:lpstr>
      <vt:lpstr>'wydatki własne'!Obszar_wydruku</vt:lpstr>
      <vt:lpstr>'wydatki zlecone '!Obszar_wydruku</vt:lpstr>
      <vt:lpstr>'wyd. inw'!Tytuły_wydruku</vt:lpstr>
      <vt:lpstr>'wydatki pow'!Tytuły_wydruku</vt:lpstr>
      <vt:lpstr>'wydatki zlecone '!Tytuły_wydruku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z.mazur</dc:creator>
  <cp:lastModifiedBy>Barbara Bąk</cp:lastModifiedBy>
  <cp:lastPrinted>2024-11-06T09:32:19Z</cp:lastPrinted>
  <dcterms:created xsi:type="dcterms:W3CDTF">2022-10-24T09:32:00Z</dcterms:created>
  <dcterms:modified xsi:type="dcterms:W3CDTF">2025-11-17T08:26:36Z</dcterms:modified>
</cp:coreProperties>
</file>